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ld Drive\Desktop\Trabalhos\Simulador_Final\"/>
    </mc:Choice>
  </mc:AlternateContent>
  <bookViews>
    <workbookView xWindow="0" yWindow="0" windowWidth="28800" windowHeight="11775"/>
  </bookViews>
  <sheets>
    <sheet name="Introdução" sheetId="5" r:id="rId1"/>
    <sheet name="Localização" sheetId="1" r:id="rId2"/>
    <sheet name="Áreas" sheetId="3" r:id="rId3"/>
    <sheet name="Taxas" sheetId="4" r:id="rId4"/>
  </sheets>
  <definedNames>
    <definedName name="_xlnm.Print_Area" localSheetId="2">Áreas!$A$12:$K$41</definedName>
    <definedName name="_xlnm.Print_Area" localSheetId="1">Localização!$A$13:$K$45</definedName>
    <definedName name="_xlnm.Print_Area" localSheetId="3">Taxas!$A$7:$I$60</definedName>
    <definedName name="_xlnm.Print_Titles" localSheetId="2">Áreas!$1:$11</definedName>
    <definedName name="_xlnm.Print_Titles" localSheetId="1">Localização!$1:$12</definedName>
    <definedName name="_xlnm.Print_Titles" localSheetId="3">Taxas!$1:$5</definedName>
  </definedNames>
  <calcPr calcId="162913" concurrentManualCount="4"/>
</workbook>
</file>

<file path=xl/calcChain.xml><?xml version="1.0" encoding="utf-8"?>
<calcChain xmlns="http://schemas.openxmlformats.org/spreadsheetml/2006/main">
  <c r="D17" i="4" l="1"/>
  <c r="J15" i="1" l="1"/>
  <c r="D33" i="4" l="1"/>
  <c r="D32" i="4"/>
  <c r="D31" i="4"/>
  <c r="D30" i="4"/>
  <c r="D29" i="4"/>
  <c r="D26" i="4"/>
  <c r="D25" i="4"/>
  <c r="D24" i="4"/>
  <c r="D23" i="4"/>
  <c r="D22" i="4"/>
  <c r="D21" i="4"/>
  <c r="D20" i="4"/>
  <c r="D19" i="4"/>
  <c r="M19" i="4"/>
  <c r="E19" i="4" l="1"/>
  <c r="M23" i="4" l="1"/>
  <c r="M22" i="4"/>
  <c r="M21" i="4"/>
  <c r="M27" i="4" l="1"/>
  <c r="E27" i="4" s="1"/>
  <c r="M26" i="4"/>
  <c r="E26" i="4" s="1"/>
  <c r="M25" i="4"/>
  <c r="E25" i="4" s="1"/>
  <c r="D47" i="4"/>
  <c r="D46" i="4"/>
  <c r="D45" i="4"/>
  <c r="D44" i="4"/>
  <c r="M33" i="4"/>
  <c r="E33" i="4" s="1"/>
  <c r="M32" i="4"/>
  <c r="E32" i="4" s="1"/>
  <c r="M31" i="4"/>
  <c r="E31" i="4" s="1"/>
  <c r="M30" i="4"/>
  <c r="E30" i="4" s="1"/>
  <c r="M29" i="4"/>
  <c r="E29" i="4" s="1"/>
  <c r="E23" i="4" l="1"/>
  <c r="E46" i="4"/>
  <c r="N21" i="4"/>
  <c r="N22" i="4"/>
  <c r="M24" i="4"/>
  <c r="M20" i="4"/>
  <c r="O33" i="4"/>
  <c r="G33" i="4" s="1"/>
  <c r="O32" i="4"/>
  <c r="G32" i="4" s="1"/>
  <c r="O31" i="4"/>
  <c r="G31" i="4" s="1"/>
  <c r="O30" i="4"/>
  <c r="G30" i="4" s="1"/>
  <c r="O29" i="4"/>
  <c r="G29" i="4" s="1"/>
  <c r="O27" i="4"/>
  <c r="G27" i="4" s="1"/>
  <c r="O26" i="4"/>
  <c r="G26" i="4" s="1"/>
  <c r="O25" i="4"/>
  <c r="O24" i="4"/>
  <c r="G24" i="4" s="1"/>
  <c r="O23" i="4"/>
  <c r="G23" i="4" s="1"/>
  <c r="O22" i="4"/>
  <c r="G22" i="4" s="1"/>
  <c r="O21" i="4"/>
  <c r="G21" i="4" s="1"/>
  <c r="O20" i="4"/>
  <c r="G20" i="4" s="1"/>
  <c r="O19" i="4"/>
  <c r="G19" i="4" s="1"/>
  <c r="O18" i="4"/>
  <c r="G18" i="4" s="1"/>
  <c r="O17" i="4"/>
  <c r="E24" i="4" l="1"/>
  <c r="E47" i="4"/>
  <c r="G47" i="4" s="1"/>
  <c r="E45" i="4"/>
  <c r="G45" i="4" s="1"/>
  <c r="E20" i="4"/>
  <c r="E44" i="4"/>
  <c r="G44" i="4" s="1"/>
  <c r="P19" i="4"/>
  <c r="H19" i="4" s="1"/>
  <c r="P25" i="4"/>
  <c r="H25" i="4" s="1"/>
  <c r="G25" i="4"/>
  <c r="P22" i="4"/>
  <c r="E22" i="4" s="1"/>
  <c r="S18" i="4"/>
  <c r="P24" i="4"/>
  <c r="H24" i="4" s="1"/>
  <c r="P26" i="4"/>
  <c r="H26" i="4" s="1"/>
  <c r="P33" i="4"/>
  <c r="H33" i="4" s="1"/>
  <c r="P23" i="4"/>
  <c r="H23" i="4" s="1"/>
  <c r="P20" i="4"/>
  <c r="H20" i="4" s="1"/>
  <c r="P30" i="4"/>
  <c r="H30" i="4" s="1"/>
  <c r="P32" i="4"/>
  <c r="H32" i="4" s="1"/>
  <c r="P21" i="4"/>
  <c r="G46" i="4"/>
  <c r="F29" i="4"/>
  <c r="H22" i="4" l="1"/>
  <c r="H21" i="4"/>
  <c r="E21" i="4"/>
  <c r="G49" i="4"/>
  <c r="N31" i="4"/>
  <c r="P31" i="4" l="1"/>
  <c r="H31" i="4" s="1"/>
  <c r="N29" i="4"/>
  <c r="P29" i="4" s="1"/>
  <c r="H29" i="4" s="1"/>
  <c r="J17" i="1"/>
  <c r="D41" i="4" s="1"/>
  <c r="M38" i="1" l="1"/>
  <c r="M36" i="1"/>
  <c r="M34" i="1"/>
  <c r="M32" i="1"/>
  <c r="M30" i="1"/>
  <c r="M28" i="1"/>
  <c r="M26" i="1"/>
  <c r="M40" i="1" l="1"/>
  <c r="N269" i="1" l="1"/>
  <c r="O269" i="1" s="1"/>
  <c r="N268" i="1"/>
  <c r="O268" i="1" s="1"/>
  <c r="J40" i="1" l="1"/>
  <c r="D53" i="4" s="1"/>
  <c r="C63" i="4" l="1"/>
  <c r="H55" i="4" s="1"/>
  <c r="M264" i="1"/>
  <c r="P27" i="4"/>
  <c r="H27" i="4" s="1"/>
  <c r="D27" i="4"/>
  <c r="D18" i="4"/>
  <c r="P18" i="4"/>
  <c r="H18" i="4" s="1"/>
  <c r="H35" i="4" l="1"/>
  <c r="H57" i="4" s="1"/>
</calcChain>
</file>

<file path=xl/sharedStrings.xml><?xml version="1.0" encoding="utf-8"?>
<sst xmlns="http://schemas.openxmlformats.org/spreadsheetml/2006/main" count="189" uniqueCount="153">
  <si>
    <t>Nível =</t>
  </si>
  <si>
    <t>Habitação</t>
  </si>
  <si>
    <t>Infra-estruturas existentes</t>
  </si>
  <si>
    <t>S</t>
  </si>
  <si>
    <t>N</t>
  </si>
  <si>
    <t>Arruamentos</t>
  </si>
  <si>
    <t>Rede de esgotos</t>
  </si>
  <si>
    <t>Coeficiente de infra-estruturação</t>
  </si>
  <si>
    <t>Rede de águas pluviais</t>
  </si>
  <si>
    <t>Rede de abastecimento de água</t>
  </si>
  <si>
    <t>Rede de energia eléctrica</t>
  </si>
  <si>
    <t>Rede de telecomunicações</t>
  </si>
  <si>
    <t>Rede de gás</t>
  </si>
  <si>
    <t>m2</t>
  </si>
  <si>
    <t>Indústria, armazenagem, equipamentos, empreendimentos turísticos e outros fins</t>
  </si>
  <si>
    <t>Áreas a licenciar para efeitos de índice (Incluir alínea (a))</t>
  </si>
  <si>
    <t>m3</t>
  </si>
  <si>
    <t>Outros Parâmetros (a licenciar)</t>
  </si>
  <si>
    <t>ml</t>
  </si>
  <si>
    <t>Muro de vedação confinante com a via pública</t>
  </si>
  <si>
    <t>Tanques, piscinas e afins (m2 de área de intervenção)</t>
  </si>
  <si>
    <t>Demolições de construções (quando não previstas em licença de obras de reconstrução)</t>
  </si>
  <si>
    <t>Instalações de armazenagem de combustíveis por capacidade dos reservatórios</t>
  </si>
  <si>
    <t>Equipamentos</t>
  </si>
  <si>
    <t>Afife</t>
  </si>
  <si>
    <t>Alvarães</t>
  </si>
  <si>
    <t>Amonde</t>
  </si>
  <si>
    <t>Areosa</t>
  </si>
  <si>
    <t>Barroselas</t>
  </si>
  <si>
    <t>Cardielos</t>
  </si>
  <si>
    <t>Carreço</t>
  </si>
  <si>
    <t>Carvoeiro</t>
  </si>
  <si>
    <t>Castelo de Neiva</t>
  </si>
  <si>
    <t>Chafé</t>
  </si>
  <si>
    <t>Darque</t>
  </si>
  <si>
    <t>Deão</t>
  </si>
  <si>
    <t>Deocriste</t>
  </si>
  <si>
    <t>Freixieiro de Soutelo</t>
  </si>
  <si>
    <t>Lanheses</t>
  </si>
  <si>
    <t>Mazarefes</t>
  </si>
  <si>
    <t>Meadela</t>
  </si>
  <si>
    <t>Meixedo</t>
  </si>
  <si>
    <t>Monserrate</t>
  </si>
  <si>
    <t>Moreira de Geraz do Lima</t>
  </si>
  <si>
    <t>Mujães</t>
  </si>
  <si>
    <t>Outeiro</t>
  </si>
  <si>
    <t>Perre</t>
  </si>
  <si>
    <t>Portela de Suzã</t>
  </si>
  <si>
    <t>S. Lourenço da Montaria</t>
  </si>
  <si>
    <t>S. Romão do Neiva</t>
  </si>
  <si>
    <t>S. Salvador da Torre</t>
  </si>
  <si>
    <t>Serreleis</t>
  </si>
  <si>
    <t>Stª Leocádia de Geraz do Lima</t>
  </si>
  <si>
    <t>Stª Mª Maior</t>
  </si>
  <si>
    <t>Stª Maria de Geraz do Lima</t>
  </si>
  <si>
    <t>Stª Marta de Portuzelo</t>
  </si>
  <si>
    <t>Subportela</t>
  </si>
  <si>
    <t>V. N. Anha</t>
  </si>
  <si>
    <t>Vila de Punhe</t>
  </si>
  <si>
    <t>Vila Franca</t>
  </si>
  <si>
    <t>Vila Fria</t>
  </si>
  <si>
    <t>Vila Mou</t>
  </si>
  <si>
    <t>Vilar de Murteda</t>
  </si>
  <si>
    <t>Serviços</t>
  </si>
  <si>
    <t>Comércio</t>
  </si>
  <si>
    <t>L (Coeficiente de Localização)=</t>
  </si>
  <si>
    <t>Artigo/
Quadro</t>
  </si>
  <si>
    <t>Descrição</t>
  </si>
  <si>
    <t>Valor
Unitário</t>
  </si>
  <si>
    <t>Prazo
Área
Comp.</t>
  </si>
  <si>
    <t>Valor
Médio/m2</t>
  </si>
  <si>
    <t>Taxas</t>
  </si>
  <si>
    <t>Taxa de apreciação</t>
  </si>
  <si>
    <t>Taxa pela emissão de alvará ou por admissão de comunicação prévia</t>
  </si>
  <si>
    <t>Taxa especial por período de 30 dias
(acresce ao montante referido no nº 2.1</t>
  </si>
  <si>
    <t>22.2.3.1</t>
  </si>
  <si>
    <t>Habitação, por m2 de área de construção</t>
  </si>
  <si>
    <t>22.2.3.2</t>
  </si>
  <si>
    <t>Comércio / restauração e bebida, menor ou igual a 100 m2, por m2 de área de construção</t>
  </si>
  <si>
    <t>22.2.3.3</t>
  </si>
  <si>
    <t>Comércio / restauração e bebida, superior a 100 m2, por m2 de área de construção</t>
  </si>
  <si>
    <t>22.2.3.4</t>
  </si>
  <si>
    <t>Serviços, por m2 de área de construção</t>
  </si>
  <si>
    <t>22.2.3.5</t>
  </si>
  <si>
    <t>Parques de campismo, por 1.000 m2 de área de intervenção</t>
  </si>
  <si>
    <t>22.2.3.6</t>
  </si>
  <si>
    <t>22.2.3.7</t>
  </si>
  <si>
    <t>Alojamento local, por m2 de área de construção</t>
  </si>
  <si>
    <t>22.2.3.8</t>
  </si>
  <si>
    <t>Indústria, armazéns e outros afins, por m2 de área de construção</t>
  </si>
  <si>
    <t>7.1.1</t>
  </si>
  <si>
    <t>7.1.2</t>
  </si>
  <si>
    <t>7.1.3</t>
  </si>
  <si>
    <t>Restantes tipologias de emprendimentos turísticos, por m2 de área de intervenção</t>
  </si>
  <si>
    <t>Área</t>
  </si>
  <si>
    <t>Taxa devida pela emissão de alvará de licença ou por comunicação prévia para obras de edificação</t>
  </si>
  <si>
    <t>O processo está sujeito ao pagamento de TRMU</t>
  </si>
  <si>
    <t>Localização da Pretensão</t>
  </si>
  <si>
    <t>Simulador de Taxas - Câmara Municipal de Viana do Castelo</t>
  </si>
  <si>
    <t>Aviso: Apesar do cuidado colocado a desenvolver este simulador, os valores obtidos são uma simples indicação e não constituem qualquer tipo de compromisso.</t>
  </si>
  <si>
    <t>Obras de Edificação - Secção III do R. M. T. U. E.</t>
  </si>
  <si>
    <t>Capítulo VI do do R. M. T. U. E.</t>
  </si>
  <si>
    <t>-</t>
  </si>
  <si>
    <t>Valores de 4</t>
  </si>
  <si>
    <t>Tabela Freguesias - D27</t>
  </si>
  <si>
    <t>Coef. Infra-est</t>
  </si>
  <si>
    <t>Indice Construção</t>
  </si>
  <si>
    <t>Coef. Tipo Utilização</t>
  </si>
  <si>
    <t>2.1</t>
  </si>
  <si>
    <t>2.2</t>
  </si>
  <si>
    <t>IV</t>
  </si>
  <si>
    <t>V</t>
  </si>
  <si>
    <t>Taxa devida pela emissão de alvarás de licenças ou por comunicações prévias para outras operações urbanísticas e para demolições</t>
  </si>
  <si>
    <t>2.3.1</t>
  </si>
  <si>
    <t>Construção, reconstrução, ampliação, alteração de muros ou vedações sujeitas a licença ou comunicação prévia, por m linear</t>
  </si>
  <si>
    <t>2.3.2</t>
  </si>
  <si>
    <t>Construção, reconstrução, ampliação, alteração de tanques piscinas e afins, por m2 de área de intervenção.</t>
  </si>
  <si>
    <t>2.3.4</t>
  </si>
  <si>
    <t>Demolições de edíficios e outras construções, por m2 de área de construção.</t>
  </si>
  <si>
    <t>2.3.5</t>
  </si>
  <si>
    <t>Instalações de postos de abastecimento de combustíveis por capacidade dos reservatórios (m3)</t>
  </si>
  <si>
    <t>2.3.6</t>
  </si>
  <si>
    <t>Instalações de armazenamento de combustíveis por capacidade dos reservatórios (m3)</t>
  </si>
  <si>
    <t>Instalações de postos de abastecimento de combustíveis por capacidade dos reservatórios</t>
  </si>
  <si>
    <t>Factor 3</t>
  </si>
  <si>
    <t>Red1</t>
  </si>
  <si>
    <t>Red2</t>
  </si>
  <si>
    <t>Verificação Áreas</t>
  </si>
  <si>
    <t>Parques de Campismo</t>
  </si>
  <si>
    <t>Alojamento Local</t>
  </si>
  <si>
    <t>Indústria</t>
  </si>
  <si>
    <t>Outros</t>
  </si>
  <si>
    <t>Restantes tipologias Emp. Turísticos</t>
  </si>
  <si>
    <t>Armazéns</t>
  </si>
  <si>
    <t>Áreas Brutas de Construção a Licenciar</t>
  </si>
  <si>
    <t>É Obra de Reabilitação ?</t>
  </si>
  <si>
    <t>7.1.4</t>
  </si>
  <si>
    <t>NOTA:</t>
  </si>
  <si>
    <t>Taxa pela Realização, reforço e manutenção de infra-estruturas Urbanísticas - Secção V do R. M. T. U. E.</t>
  </si>
  <si>
    <t>A este valor serão acrescidos os valores relativos a todas Taxas de Apreciação e às Compensações em Numerário, se aplicável, nos termos do R. M. T. U. E.</t>
  </si>
  <si>
    <t>Artº 3 do do R. M. T. U. E.</t>
  </si>
  <si>
    <t>Prazo (dias)</t>
  </si>
  <si>
    <t>L (Coeficiente de Localização)</t>
  </si>
  <si>
    <t>Coef.</t>
  </si>
  <si>
    <t>Coef.
X
Área</t>
  </si>
  <si>
    <t>C (Valor médio construção por metro quadrado)</t>
  </si>
  <si>
    <t>I (Coeficiente de Infra-estruturação local)</t>
  </si>
  <si>
    <t>Taxa pela Realização, reforço e manutenção de infra-estruturas Urbanísticas</t>
  </si>
  <si>
    <t>Parcial (IV + V)</t>
  </si>
  <si>
    <t>Artº 33</t>
  </si>
  <si>
    <t>TOTAL (IV + V + Artº 33)</t>
  </si>
  <si>
    <t xml:space="preserve">SIMULADOR DE TAXAS DE URBANIZAÇÃO E EDIFICAÇÃO
Na sequência das ações que a Câmara Municipal de Viana do Castelo tem levado a efeito no âmbito da estratégia de modernização administrativa dos procedimentos dos processos de operações urbanísticas, foi desenvolvido este simulador de taxas que tem como objetivo disponibilizar aos cidadãos e às empresas uma ferramenta de ajuda que permita estimar os custos com os atos de licenciamento e outros relacionados com as obras de edificação e com os loteamentos.
O correto preenchimento dos campos dos quadros do simulador é fundamental para a fiabilidade do valor obtido, o qual é meramente indicativo.
Os valores utilizados são os que constam do Regulamento de Taxas e Outras Receitas de Urbanização e Edificação, em vigor, que pode ser consultado em:
</t>
  </si>
  <si>
    <t>http://www.cm-viana-castelo.pt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</si>
</sst>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_-* #,##0.00\ [$€-816]_-;\-* #,##0.00\ [$€-816]_-;_-* &quot;-&quot;??\ [$€-816]_-;_-@_-"/>
    <numFmt numFmtId="167" formatCode="#,##0.0"/>
    <numFmt numFmtId="168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4">
    <xf numFmtId="0" fontId="0" fillId="0" borderId="0" xfId="0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5" xfId="0" applyBorder="1"/>
    <xf numFmtId="0" fontId="0" fillId="0" borderId="12" xfId="0" quotePrefix="1" applyBorder="1"/>
    <xf numFmtId="0" fontId="0" fillId="0" borderId="14" xfId="0" applyBorder="1"/>
    <xf numFmtId="165" fontId="0" fillId="0" borderId="7" xfId="0" applyNumberFormat="1" applyBorder="1"/>
    <xf numFmtId="165" fontId="0" fillId="0" borderId="5" xfId="0" applyNumberFormat="1" applyBorder="1"/>
    <xf numFmtId="0" fontId="0" fillId="0" borderId="12" xfId="0" applyBorder="1"/>
    <xf numFmtId="165" fontId="0" fillId="0" borderId="14" xfId="0" applyNumberFormat="1" applyBorder="1"/>
    <xf numFmtId="164" fontId="0" fillId="0" borderId="7" xfId="0" applyNumberFormat="1" applyBorder="1"/>
    <xf numFmtId="164" fontId="0" fillId="0" borderId="5" xfId="0" applyNumberFormat="1" applyBorder="1"/>
    <xf numFmtId="0" fontId="0" fillId="0" borderId="0" xfId="0" applyBorder="1"/>
    <xf numFmtId="0" fontId="0" fillId="0" borderId="13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9" xfId="0" quotePrefix="1" applyBorder="1"/>
    <xf numFmtId="0" fontId="0" fillId="0" borderId="14" xfId="0" quotePrefix="1" applyBorder="1" applyAlignment="1">
      <alignment horizontal="center"/>
    </xf>
    <xf numFmtId="0" fontId="0" fillId="0" borderId="0" xfId="0" applyAlignment="1">
      <alignment vertical="center"/>
    </xf>
    <xf numFmtId="0" fontId="0" fillId="0" borderId="8" xfId="0" quotePrefix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/>
    </xf>
    <xf numFmtId="0" fontId="0" fillId="0" borderId="1" xfId="0" applyBorder="1" applyAlignment="1" applyProtection="1">
      <alignment horizontal="left" vertical="top"/>
    </xf>
    <xf numFmtId="166" fontId="0" fillId="0" borderId="1" xfId="0" applyNumberFormat="1" applyBorder="1" applyProtection="1"/>
    <xf numFmtId="0" fontId="0" fillId="0" borderId="1" xfId="0" applyBorder="1" applyAlignment="1" applyProtection="1">
      <alignment horizontal="right" vertical="center"/>
    </xf>
    <xf numFmtId="0" fontId="0" fillId="0" borderId="1" xfId="0" applyBorder="1" applyAlignment="1" applyProtection="1">
      <alignment horizontal="justify" vertical="top" wrapText="1"/>
    </xf>
    <xf numFmtId="166" fontId="0" fillId="0" borderId="1" xfId="0" applyNumberForma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1" xfId="0" applyBorder="1" applyProtection="1"/>
    <xf numFmtId="4" fontId="0" fillId="0" borderId="1" xfId="0" applyNumberFormat="1" applyBorder="1" applyAlignment="1" applyProtection="1">
      <alignment horizontal="right" vertical="center"/>
    </xf>
    <xf numFmtId="0" fontId="0" fillId="0" borderId="2" xfId="0" applyBorder="1" applyAlignment="1" applyProtection="1">
      <alignment horizontal="justify" vertical="top"/>
    </xf>
    <xf numFmtId="3" fontId="0" fillId="0" borderId="1" xfId="0" applyNumberFormat="1" applyBorder="1" applyAlignment="1" applyProtection="1">
      <alignment horizontal="right" vertical="center"/>
    </xf>
    <xf numFmtId="167" fontId="0" fillId="0" borderId="1" xfId="0" applyNumberFormat="1" applyBorder="1" applyAlignment="1" applyProtection="1">
      <alignment horizontal="right" vertical="center"/>
    </xf>
    <xf numFmtId="0" fontId="0" fillId="0" borderId="2" xfId="0" applyBorder="1" applyAlignment="1" applyProtection="1">
      <alignment vertical="top"/>
    </xf>
    <xf numFmtId="0" fontId="1" fillId="0" borderId="1" xfId="0" applyFont="1" applyBorder="1" applyAlignment="1" applyProtection="1">
      <alignment horizontal="right" vertical="center"/>
    </xf>
    <xf numFmtId="166" fontId="1" fillId="3" borderId="1" xfId="0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right" vertical="center"/>
    </xf>
    <xf numFmtId="2" fontId="0" fillId="3" borderId="1" xfId="0" applyNumberFormat="1" applyFill="1" applyBorder="1" applyAlignment="1" applyProtection="1">
      <alignment horizontal="center"/>
    </xf>
    <xf numFmtId="165" fontId="0" fillId="3" borderId="1" xfId="0" applyNumberFormat="1" applyFill="1" applyBorder="1" applyAlignment="1" applyProtection="1">
      <alignment horizontal="center"/>
    </xf>
    <xf numFmtId="166" fontId="0" fillId="3" borderId="1" xfId="0" applyNumberFormat="1" applyFill="1" applyBorder="1" applyAlignment="1" applyProtection="1">
      <alignment horizontal="center"/>
    </xf>
    <xf numFmtId="0" fontId="0" fillId="0" borderId="2" xfId="0" applyBorder="1" applyAlignment="1" applyProtection="1">
      <alignment horizontal="justify" vertical="top" wrapText="1"/>
    </xf>
    <xf numFmtId="0" fontId="0" fillId="0" borderId="13" xfId="0" applyFill="1" applyBorder="1"/>
    <xf numFmtId="0" fontId="2" fillId="0" borderId="9" xfId="0" applyFont="1" applyBorder="1"/>
    <xf numFmtId="0" fontId="2" fillId="0" borderId="0" xfId="0" applyFont="1" applyBorder="1"/>
    <xf numFmtId="0" fontId="2" fillId="0" borderId="5" xfId="0" applyFont="1" applyBorder="1"/>
    <xf numFmtId="0" fontId="3" fillId="0" borderId="0" xfId="0" applyFont="1" applyBorder="1" applyAlignment="1">
      <alignment horizontal="center"/>
    </xf>
    <xf numFmtId="17" fontId="0" fillId="0" borderId="0" xfId="0" quotePrefix="1" applyNumberForma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0" borderId="9" xfId="0" applyFont="1" applyBorder="1" applyAlignment="1">
      <alignment horizontal="center" vertical="center"/>
    </xf>
    <xf numFmtId="0" fontId="0" fillId="0" borderId="13" xfId="0" applyBorder="1" applyProtection="1">
      <protection locked="0"/>
    </xf>
    <xf numFmtId="0" fontId="2" fillId="0" borderId="9" xfId="0" applyFont="1" applyBorder="1" applyProtection="1"/>
    <xf numFmtId="0" fontId="2" fillId="0" borderId="0" xfId="0" applyFont="1" applyBorder="1" applyProtection="1"/>
    <xf numFmtId="0" fontId="2" fillId="0" borderId="5" xfId="0" applyFont="1" applyBorder="1" applyProtection="1"/>
    <xf numFmtId="0" fontId="0" fillId="0" borderId="9" xfId="0" applyBorder="1" applyProtection="1"/>
    <xf numFmtId="0" fontId="0" fillId="0" borderId="0" xfId="0" applyBorder="1" applyProtection="1"/>
    <xf numFmtId="0" fontId="3" fillId="0" borderId="0" xfId="0" applyFont="1" applyBorder="1" applyAlignment="1" applyProtection="1">
      <alignment horizontal="center"/>
    </xf>
    <xf numFmtId="0" fontId="0" fillId="0" borderId="5" xfId="0" applyBorder="1" applyProtection="1"/>
    <xf numFmtId="17" fontId="0" fillId="0" borderId="0" xfId="0" quotePrefix="1" applyNumberForma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 vertical="center"/>
    </xf>
    <xf numFmtId="0" fontId="1" fillId="0" borderId="0" xfId="0" applyFont="1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0" xfId="0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vertical="top"/>
    </xf>
    <xf numFmtId="0" fontId="0" fillId="0" borderId="0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wrapText="1"/>
    </xf>
    <xf numFmtId="0" fontId="0" fillId="0" borderId="3" xfId="0" applyBorder="1" applyAlignment="1" applyProtection="1">
      <alignment horizontal="center"/>
    </xf>
    <xf numFmtId="0" fontId="0" fillId="0" borderId="0" xfId="0" quotePrefix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 applyProtection="1">
      <alignment horizontal="center" vertical="center" wrapText="1"/>
    </xf>
    <xf numFmtId="165" fontId="0" fillId="0" borderId="1" xfId="0" applyNumberForma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Fill="1" applyBorder="1" applyAlignment="1" applyProtection="1">
      <alignment horizontal="right" vertical="center"/>
    </xf>
    <xf numFmtId="0" fontId="4" fillId="0" borderId="0" xfId="1" applyBorder="1" applyAlignment="1" applyProtection="1">
      <alignment horizontal="left" indent="3"/>
      <protection locked="0"/>
    </xf>
    <xf numFmtId="0" fontId="4" fillId="0" borderId="0" xfId="1" applyBorder="1" applyAlignment="1" applyProtection="1">
      <alignment horizontal="left" indent="4"/>
      <protection locked="0"/>
    </xf>
    <xf numFmtId="0" fontId="0" fillId="0" borderId="0" xfId="0" applyBorder="1" applyAlignment="1" applyProtection="1">
      <alignment horizontal="right" inden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</xf>
    <xf numFmtId="168" fontId="0" fillId="5" borderId="0" xfId="0" applyNumberFormat="1" applyFill="1" applyAlignment="1">
      <alignment vertical="center"/>
    </xf>
    <xf numFmtId="168" fontId="0" fillId="5" borderId="0" xfId="0" applyNumberFormat="1" applyFill="1" applyAlignment="1">
      <alignment horizontal="right" vertical="center"/>
    </xf>
    <xf numFmtId="168" fontId="0" fillId="4" borderId="0" xfId="0" applyNumberFormat="1" applyFill="1"/>
    <xf numFmtId="168" fontId="0" fillId="4" borderId="0" xfId="0" applyNumberFormat="1" applyFill="1" applyAlignment="1">
      <alignment horizontal="right" vertical="center"/>
    </xf>
    <xf numFmtId="168" fontId="0" fillId="4" borderId="0" xfId="0" applyNumberFormat="1" applyFill="1" applyAlignment="1">
      <alignment vertical="center"/>
    </xf>
    <xf numFmtId="168" fontId="0" fillId="0" borderId="0" xfId="0" applyNumberFormat="1"/>
    <xf numFmtId="168" fontId="0" fillId="6" borderId="0" xfId="0" applyNumberFormat="1" applyFill="1" applyAlignment="1">
      <alignment vertical="center"/>
    </xf>
    <xf numFmtId="0" fontId="5" fillId="0" borderId="0" xfId="0" applyFont="1" applyAlignment="1">
      <alignment horizontal="justify" wrapText="1"/>
    </xf>
    <xf numFmtId="0" fontId="4" fillId="0" borderId="0" xfId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2" borderId="2" xfId="0" applyFill="1" applyBorder="1" applyAlignment="1" applyProtection="1">
      <alignment horizontal="left" indent="1"/>
      <protection locked="0"/>
    </xf>
    <xf numFmtId="0" fontId="0" fillId="2" borderId="3" xfId="0" applyFill="1" applyBorder="1" applyAlignment="1" applyProtection="1">
      <alignment horizontal="left" indent="1"/>
      <protection locked="0"/>
    </xf>
    <xf numFmtId="0" fontId="0" fillId="2" borderId="4" xfId="0" applyFill="1" applyBorder="1" applyAlignment="1" applyProtection="1">
      <alignment horizontal="left" indent="1"/>
      <protection locked="0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5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4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top"/>
    </xf>
    <xf numFmtId="0" fontId="0" fillId="0" borderId="2" xfId="0" applyBorder="1" applyAlignment="1" applyProtection="1">
      <alignment horizontal="justify" vertical="top" wrapText="1"/>
    </xf>
    <xf numFmtId="0" fontId="0" fillId="0" borderId="3" xfId="0" applyBorder="1" applyAlignment="1" applyProtection="1">
      <alignment horizontal="justify" vertical="top" wrapText="1"/>
    </xf>
    <xf numFmtId="0" fontId="0" fillId="0" borderId="4" xfId="0" applyBorder="1" applyAlignment="1" applyProtection="1">
      <alignment horizontal="justify" vertical="top" wrapText="1"/>
    </xf>
    <xf numFmtId="0" fontId="0" fillId="0" borderId="2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165" fontId="0" fillId="0" borderId="10" xfId="0" applyNumberFormat="1" applyBorder="1" applyAlignment="1" applyProtection="1">
      <alignment horizontal="center" vertical="center"/>
    </xf>
    <xf numFmtId="165" fontId="0" fillId="0" borderId="11" xfId="0" applyNumberFormat="1" applyBorder="1" applyAlignment="1" applyProtection="1">
      <alignment horizontal="center" vertical="center"/>
    </xf>
    <xf numFmtId="4" fontId="0" fillId="0" borderId="8" xfId="0" applyNumberFormat="1" applyBorder="1" applyAlignment="1" applyProtection="1">
      <alignment horizontal="center" vertical="center"/>
    </xf>
    <xf numFmtId="4" fontId="0" fillId="0" borderId="7" xfId="0" applyNumberFormat="1" applyBorder="1" applyAlignment="1" applyProtection="1">
      <alignment horizontal="center" vertical="center"/>
    </xf>
    <xf numFmtId="4" fontId="0" fillId="0" borderId="12" xfId="0" applyNumberFormat="1" applyBorder="1" applyAlignment="1" applyProtection="1">
      <alignment horizontal="center" vertical="center"/>
    </xf>
    <xf numFmtId="4" fontId="0" fillId="0" borderId="14" xfId="0" applyNumberFormat="1" applyBorder="1" applyAlignment="1" applyProtection="1">
      <alignment horizontal="center" vertical="center"/>
    </xf>
    <xf numFmtId="0" fontId="0" fillId="0" borderId="7" xfId="0" applyBorder="1" applyAlignment="1" applyProtection="1">
      <alignment horizontal="right" wrapText="1"/>
    </xf>
    <xf numFmtId="0" fontId="0" fillId="0" borderId="14" xfId="0" applyBorder="1" applyAlignment="1" applyProtection="1">
      <alignment horizontal="right" wrapText="1"/>
    </xf>
  </cellXfs>
  <cellStyles count="2">
    <cellStyle name="Hiperligação" xfId="1" builtinId="8"/>
    <cellStyle name="Normal" xfId="0" builtinId="0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hyperlink" Target="#&#193;reas!A6"/><Relationship Id="rId2" Type="http://schemas.openxmlformats.org/officeDocument/2006/relationships/hyperlink" Target="#Localiza&#231;&#227;o!A6"/><Relationship Id="rId1" Type="http://schemas.openxmlformats.org/officeDocument/2006/relationships/hyperlink" Target="#Introdu&#231;&#227;o!A6"/><Relationship Id="rId4" Type="http://schemas.openxmlformats.org/officeDocument/2006/relationships/hyperlink" Target="#Taxas!A6"/></Relationships>
</file>

<file path=xl/diagrams/_rels/data2.xml.rels><?xml version="1.0" encoding="UTF-8" standalone="yes"?>
<Relationships xmlns="http://schemas.openxmlformats.org/package/2006/relationships"><Relationship Id="rId3" Type="http://schemas.openxmlformats.org/officeDocument/2006/relationships/hyperlink" Target="#&#193;reas!A6"/><Relationship Id="rId2" Type="http://schemas.openxmlformats.org/officeDocument/2006/relationships/hyperlink" Target="#Localiza&#231;&#227;o!A6"/><Relationship Id="rId1" Type="http://schemas.openxmlformats.org/officeDocument/2006/relationships/hyperlink" Target="#Introdu&#231;&#227;o!A6"/><Relationship Id="rId4" Type="http://schemas.openxmlformats.org/officeDocument/2006/relationships/hyperlink" Target="#Taxas!A6"/></Relationships>
</file>

<file path=xl/diagrams/_rels/data3.xml.rels><?xml version="1.0" encoding="UTF-8" standalone="yes"?>
<Relationships xmlns="http://schemas.openxmlformats.org/package/2006/relationships"><Relationship Id="rId3" Type="http://schemas.openxmlformats.org/officeDocument/2006/relationships/hyperlink" Target="#&#193;reas!A6"/><Relationship Id="rId2" Type="http://schemas.openxmlformats.org/officeDocument/2006/relationships/hyperlink" Target="#Localiza&#231;&#227;o!A6"/><Relationship Id="rId1" Type="http://schemas.openxmlformats.org/officeDocument/2006/relationships/hyperlink" Target="#Introdu&#231;&#227;o!A6"/><Relationship Id="rId4" Type="http://schemas.openxmlformats.org/officeDocument/2006/relationships/hyperlink" Target="#Taxas!A6"/></Relationships>
</file>

<file path=xl/diagrams/_rels/data4.xml.rels><?xml version="1.0" encoding="UTF-8" standalone="yes"?>
<Relationships xmlns="http://schemas.openxmlformats.org/package/2006/relationships"><Relationship Id="rId3" Type="http://schemas.openxmlformats.org/officeDocument/2006/relationships/hyperlink" Target="#&#193;reas!A6"/><Relationship Id="rId2" Type="http://schemas.openxmlformats.org/officeDocument/2006/relationships/hyperlink" Target="#Localiza&#231;&#227;o!A6"/><Relationship Id="rId1" Type="http://schemas.openxmlformats.org/officeDocument/2006/relationships/hyperlink" Target="#Introdu&#231;&#227;o!A6"/><Relationship Id="rId4" Type="http://schemas.openxmlformats.org/officeDocument/2006/relationships/hyperlink" Target="#Taxas!A6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CB515E6-6BB0-44D9-AD0C-041D464230F3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83C6EAA4-F301-49F0-8700-41E8649418C5}">
      <dgm:prSet phldrT="[Texto]"/>
      <dgm:spPr>
        <a:solidFill>
          <a:schemeClr val="tx1"/>
        </a:solidFill>
      </dgm:spPr>
      <dgm:t>
        <a:bodyPr/>
        <a:lstStyle/>
        <a:p>
          <a:r>
            <a:rPr lang="pt-PT" b="1">
              <a:solidFill>
                <a:srgbClr val="FFC000"/>
              </a:solidFill>
            </a:rPr>
            <a:t>Introdução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F5F97D6E-25ED-49F2-9BF4-E24CD40062B4}" type="parTrans" cxnId="{C2068666-0EA4-4A9A-9FFD-C8AF2D5700D7}">
      <dgm:prSet/>
      <dgm:spPr/>
      <dgm:t>
        <a:bodyPr/>
        <a:lstStyle/>
        <a:p>
          <a:endParaRPr lang="pt-PT"/>
        </a:p>
      </dgm:t>
    </dgm:pt>
    <dgm:pt modelId="{EDCCA96B-A6AC-485C-88FC-85BE0EFE4743}" type="sibTrans" cxnId="{C2068666-0EA4-4A9A-9FFD-C8AF2D5700D7}">
      <dgm:prSet/>
      <dgm:spPr/>
      <dgm:t>
        <a:bodyPr/>
        <a:lstStyle/>
        <a:p>
          <a:endParaRPr lang="pt-PT"/>
        </a:p>
      </dgm:t>
    </dgm:pt>
    <dgm:pt modelId="{D5DDCE05-02DB-457D-979B-84B122859265}">
      <dgm:prSet/>
      <dgm:spPr>
        <a:solidFill>
          <a:schemeClr val="tx1"/>
        </a:solidFill>
      </dgm:spPr>
      <dgm:t>
        <a:bodyPr/>
        <a:lstStyle/>
        <a:p>
          <a:r>
            <a:rPr lang="pt-PT">
              <a:solidFill>
                <a:schemeClr val="bg1"/>
              </a:solidFill>
            </a:rPr>
            <a:t>Critério</a:t>
          </a:r>
        </a:p>
        <a:p>
          <a:r>
            <a:rPr lang="pt-PT">
              <a:solidFill>
                <a:schemeClr val="bg1"/>
              </a:solidFill>
            </a:rPr>
            <a:t>Localização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3407DAF-188C-40ED-8E2C-5A55ADCB0F72}" type="parTrans" cxnId="{BEE1FFA1-A68F-4CD7-BCA3-08EBB45A1826}">
      <dgm:prSet/>
      <dgm:spPr/>
      <dgm:t>
        <a:bodyPr/>
        <a:lstStyle/>
        <a:p>
          <a:endParaRPr lang="pt-PT"/>
        </a:p>
      </dgm:t>
    </dgm:pt>
    <dgm:pt modelId="{E952E79A-ADCA-47D7-9AAF-E40B18884B5C}" type="sibTrans" cxnId="{BEE1FFA1-A68F-4CD7-BCA3-08EBB45A1826}">
      <dgm:prSet/>
      <dgm:spPr/>
      <dgm:t>
        <a:bodyPr/>
        <a:lstStyle/>
        <a:p>
          <a:endParaRPr lang="pt-PT"/>
        </a:p>
      </dgm:t>
    </dgm:pt>
    <dgm:pt modelId="{F5B6090C-2991-488E-842D-E2BE7E6E607D}">
      <dgm:prSet/>
      <dgm:spPr>
        <a:solidFill>
          <a:schemeClr val="tx1"/>
        </a:solidFill>
      </dgm:spPr>
      <dgm:t>
        <a:bodyPr/>
        <a:lstStyle/>
        <a:p>
          <a:r>
            <a:rPr lang="pt-PT">
              <a:solidFill>
                <a:schemeClr val="bg1"/>
              </a:solidFill>
            </a:rPr>
            <a:t>Critério</a:t>
          </a:r>
        </a:p>
        <a:p>
          <a:r>
            <a:rPr lang="pt-PT">
              <a:solidFill>
                <a:schemeClr val="bg1"/>
              </a:solidFill>
            </a:rPr>
            <a:t>Áreas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2B83604-067F-498C-8721-2D015A79D01F}" type="parTrans" cxnId="{E5E8C9E2-4222-40A6-9E58-48714D0697DA}">
      <dgm:prSet/>
      <dgm:spPr/>
      <dgm:t>
        <a:bodyPr/>
        <a:lstStyle/>
        <a:p>
          <a:endParaRPr lang="pt-PT"/>
        </a:p>
      </dgm:t>
    </dgm:pt>
    <dgm:pt modelId="{A9933D92-5FF2-45C0-B716-DECA74D3E748}" type="sibTrans" cxnId="{E5E8C9E2-4222-40A6-9E58-48714D0697DA}">
      <dgm:prSet/>
      <dgm:spPr/>
      <dgm:t>
        <a:bodyPr/>
        <a:lstStyle/>
        <a:p>
          <a:endParaRPr lang="pt-PT"/>
        </a:p>
      </dgm:t>
    </dgm:pt>
    <dgm:pt modelId="{7CA8C695-DC1B-4416-B511-7D2456132BBB}">
      <dgm:prSet/>
      <dgm:spPr>
        <a:solidFill>
          <a:schemeClr val="tx1"/>
        </a:solidFill>
      </dgm:spPr>
      <dgm:t>
        <a:bodyPr/>
        <a:lstStyle/>
        <a:p>
          <a:r>
            <a:rPr lang="pt-PT">
              <a:solidFill>
                <a:schemeClr val="bg1"/>
              </a:solidFill>
            </a:rPr>
            <a:t>Calculo</a:t>
          </a:r>
        </a:p>
        <a:p>
          <a:r>
            <a:rPr lang="pt-PT">
              <a:solidFill>
                <a:schemeClr val="bg1"/>
              </a:solidFill>
            </a:rPr>
            <a:t>Taxas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51ABE6AC-93A5-4812-A180-1CAF1571BDD1}" type="parTrans" cxnId="{50BCADCF-0CFB-463C-8CBC-23D0F5A1A992}">
      <dgm:prSet/>
      <dgm:spPr/>
      <dgm:t>
        <a:bodyPr/>
        <a:lstStyle/>
        <a:p>
          <a:endParaRPr lang="pt-PT"/>
        </a:p>
      </dgm:t>
    </dgm:pt>
    <dgm:pt modelId="{83108223-E21A-48DC-881D-3248790D481D}" type="sibTrans" cxnId="{50BCADCF-0CFB-463C-8CBC-23D0F5A1A992}">
      <dgm:prSet/>
      <dgm:spPr/>
      <dgm:t>
        <a:bodyPr/>
        <a:lstStyle/>
        <a:p>
          <a:endParaRPr lang="pt-PT"/>
        </a:p>
      </dgm:t>
    </dgm:pt>
    <dgm:pt modelId="{C9E2D559-72A5-4481-9952-56C559DE70D8}" type="pres">
      <dgm:prSet presAssocID="{ACB515E6-6BB0-44D9-AD0C-041D464230F3}" presName="Name0" presStyleCnt="0">
        <dgm:presLayoutVars>
          <dgm:dir/>
          <dgm:resizeHandles val="exact"/>
        </dgm:presLayoutVars>
      </dgm:prSet>
      <dgm:spPr/>
    </dgm:pt>
    <dgm:pt modelId="{6740BF90-BD40-45A1-A21C-0A88BA17E580}" type="pres">
      <dgm:prSet presAssocID="{83C6EAA4-F301-49F0-8700-41E8649418C5}" presName="parTxOnly" presStyleLbl="node1" presStyleIdx="0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2FEC67CF-7E91-4CF6-961A-D46458DEEC12}" type="pres">
      <dgm:prSet presAssocID="{EDCCA96B-A6AC-485C-88FC-85BE0EFE4743}" presName="parSpace" presStyleCnt="0"/>
      <dgm:spPr/>
    </dgm:pt>
    <dgm:pt modelId="{FAB58EF1-379C-43D5-8F43-2FFDD6212DA3}" type="pres">
      <dgm:prSet presAssocID="{D5DDCE05-02DB-457D-979B-84B122859265}" presName="parTxOnly" presStyleLbl="node1" presStyleIdx="1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88DBD05F-B66C-42E4-A48B-5EEE161892E0}" type="pres">
      <dgm:prSet presAssocID="{E952E79A-ADCA-47D7-9AAF-E40B18884B5C}" presName="parSpace" presStyleCnt="0"/>
      <dgm:spPr/>
    </dgm:pt>
    <dgm:pt modelId="{A7D0AA70-10F1-4647-A166-B67CA893740C}" type="pres">
      <dgm:prSet presAssocID="{F5B6090C-2991-488E-842D-E2BE7E6E607D}" presName="parTxOnly" presStyleLbl="node1" presStyleIdx="2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E61E31C8-104B-4F75-B7D2-A2BABD21F196}" type="pres">
      <dgm:prSet presAssocID="{A9933D92-5FF2-45C0-B716-DECA74D3E748}" presName="parSpace" presStyleCnt="0"/>
      <dgm:spPr/>
    </dgm:pt>
    <dgm:pt modelId="{95DA8AF6-CBA0-49D6-92F8-BEF9D7820FCF}" type="pres">
      <dgm:prSet presAssocID="{7CA8C695-DC1B-4416-B511-7D2456132BBB}" presName="parTxOnly" presStyleLbl="node1" presStyleIdx="3" presStyleCnt="4" custLinFactNeighborX="68216" custLinFactNeighborY="11003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</dgm:ptLst>
  <dgm:cxnLst>
    <dgm:cxn modelId="{15F6237A-DB79-4C72-9E00-4C5F235FA738}" type="presOf" srcId="{83C6EAA4-F301-49F0-8700-41E8649418C5}" destId="{6740BF90-BD40-45A1-A21C-0A88BA17E580}" srcOrd="0" destOrd="0" presId="urn:microsoft.com/office/officeart/2005/8/layout/hChevron3"/>
    <dgm:cxn modelId="{50BCADCF-0CFB-463C-8CBC-23D0F5A1A992}" srcId="{ACB515E6-6BB0-44D9-AD0C-041D464230F3}" destId="{7CA8C695-DC1B-4416-B511-7D2456132BBB}" srcOrd="3" destOrd="0" parTransId="{51ABE6AC-93A5-4812-A180-1CAF1571BDD1}" sibTransId="{83108223-E21A-48DC-881D-3248790D481D}"/>
    <dgm:cxn modelId="{C7E66D5B-47C3-48B4-BC8B-B64BFD9AFCF3}" type="presOf" srcId="{D5DDCE05-02DB-457D-979B-84B122859265}" destId="{FAB58EF1-379C-43D5-8F43-2FFDD6212DA3}" srcOrd="0" destOrd="0" presId="urn:microsoft.com/office/officeart/2005/8/layout/hChevron3"/>
    <dgm:cxn modelId="{BEE1FFA1-A68F-4CD7-BCA3-08EBB45A1826}" srcId="{ACB515E6-6BB0-44D9-AD0C-041D464230F3}" destId="{D5DDCE05-02DB-457D-979B-84B122859265}" srcOrd="1" destOrd="0" parTransId="{83407DAF-188C-40ED-8E2C-5A55ADCB0F72}" sibTransId="{E952E79A-ADCA-47D7-9AAF-E40B18884B5C}"/>
    <dgm:cxn modelId="{C2068666-0EA4-4A9A-9FFD-C8AF2D5700D7}" srcId="{ACB515E6-6BB0-44D9-AD0C-041D464230F3}" destId="{83C6EAA4-F301-49F0-8700-41E8649418C5}" srcOrd="0" destOrd="0" parTransId="{F5F97D6E-25ED-49F2-9BF4-E24CD40062B4}" sibTransId="{EDCCA96B-A6AC-485C-88FC-85BE0EFE4743}"/>
    <dgm:cxn modelId="{9B8BA059-6835-4D67-8447-2F01C1728663}" type="presOf" srcId="{F5B6090C-2991-488E-842D-E2BE7E6E607D}" destId="{A7D0AA70-10F1-4647-A166-B67CA893740C}" srcOrd="0" destOrd="0" presId="urn:microsoft.com/office/officeart/2005/8/layout/hChevron3"/>
    <dgm:cxn modelId="{1B8F7D3A-7890-42FA-AA17-E4C61472917F}" type="presOf" srcId="{7CA8C695-DC1B-4416-B511-7D2456132BBB}" destId="{95DA8AF6-CBA0-49D6-92F8-BEF9D7820FCF}" srcOrd="0" destOrd="0" presId="urn:microsoft.com/office/officeart/2005/8/layout/hChevron3"/>
    <dgm:cxn modelId="{E5E8C9E2-4222-40A6-9E58-48714D0697DA}" srcId="{ACB515E6-6BB0-44D9-AD0C-041D464230F3}" destId="{F5B6090C-2991-488E-842D-E2BE7E6E607D}" srcOrd="2" destOrd="0" parTransId="{62B83604-067F-498C-8721-2D015A79D01F}" sibTransId="{A9933D92-5FF2-45C0-B716-DECA74D3E748}"/>
    <dgm:cxn modelId="{60CA93FB-41F0-47C0-843A-2F518A6B9994}" type="presOf" srcId="{ACB515E6-6BB0-44D9-AD0C-041D464230F3}" destId="{C9E2D559-72A5-4481-9952-56C559DE70D8}" srcOrd="0" destOrd="0" presId="urn:microsoft.com/office/officeart/2005/8/layout/hChevron3"/>
    <dgm:cxn modelId="{F6DAB159-297F-4095-9DE6-4C5623E4253C}" type="presParOf" srcId="{C9E2D559-72A5-4481-9952-56C559DE70D8}" destId="{6740BF90-BD40-45A1-A21C-0A88BA17E580}" srcOrd="0" destOrd="0" presId="urn:microsoft.com/office/officeart/2005/8/layout/hChevron3"/>
    <dgm:cxn modelId="{7A91033D-C194-4AE7-85A9-AF7E6AAB5818}" type="presParOf" srcId="{C9E2D559-72A5-4481-9952-56C559DE70D8}" destId="{2FEC67CF-7E91-4CF6-961A-D46458DEEC12}" srcOrd="1" destOrd="0" presId="urn:microsoft.com/office/officeart/2005/8/layout/hChevron3"/>
    <dgm:cxn modelId="{6CD34E8F-D2EB-488F-8A50-9B9E00E28F62}" type="presParOf" srcId="{C9E2D559-72A5-4481-9952-56C559DE70D8}" destId="{FAB58EF1-379C-43D5-8F43-2FFDD6212DA3}" srcOrd="2" destOrd="0" presId="urn:microsoft.com/office/officeart/2005/8/layout/hChevron3"/>
    <dgm:cxn modelId="{E7C3E2EE-B617-4833-A3B5-95392E5BBCAF}" type="presParOf" srcId="{C9E2D559-72A5-4481-9952-56C559DE70D8}" destId="{88DBD05F-B66C-42E4-A48B-5EEE161892E0}" srcOrd="3" destOrd="0" presId="urn:microsoft.com/office/officeart/2005/8/layout/hChevron3"/>
    <dgm:cxn modelId="{BBEEFCCF-1DC7-4FE7-96DA-6EE603E3CABF}" type="presParOf" srcId="{C9E2D559-72A5-4481-9952-56C559DE70D8}" destId="{A7D0AA70-10F1-4647-A166-B67CA893740C}" srcOrd="4" destOrd="0" presId="urn:microsoft.com/office/officeart/2005/8/layout/hChevron3"/>
    <dgm:cxn modelId="{D7BA4F43-297C-4698-A56F-D4C922EB5B66}" type="presParOf" srcId="{C9E2D559-72A5-4481-9952-56C559DE70D8}" destId="{E61E31C8-104B-4F75-B7D2-A2BABD21F196}" srcOrd="5" destOrd="0" presId="urn:microsoft.com/office/officeart/2005/8/layout/hChevron3"/>
    <dgm:cxn modelId="{CD07260D-F6C5-475E-85AC-F186EE95F6DC}" type="presParOf" srcId="{C9E2D559-72A5-4481-9952-56C559DE70D8}" destId="{95DA8AF6-CBA0-49D6-92F8-BEF9D7820FCF}" srcOrd="6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ACB515E6-6BB0-44D9-AD0C-041D464230F3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83C6EAA4-F301-49F0-8700-41E8649418C5}">
      <dgm:prSet phldrT="[Texto]"/>
      <dgm:spPr>
        <a:solidFill>
          <a:schemeClr val="tx1"/>
        </a:solidFill>
      </dgm:spPr>
      <dgm:t>
        <a:bodyPr/>
        <a:lstStyle/>
        <a:p>
          <a:r>
            <a:rPr lang="pt-PT" b="0">
              <a:solidFill>
                <a:schemeClr val="bg1"/>
              </a:solidFill>
            </a:rPr>
            <a:t>Introdução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F5F97D6E-25ED-49F2-9BF4-E24CD40062B4}" type="parTrans" cxnId="{C2068666-0EA4-4A9A-9FFD-C8AF2D5700D7}">
      <dgm:prSet/>
      <dgm:spPr/>
      <dgm:t>
        <a:bodyPr/>
        <a:lstStyle/>
        <a:p>
          <a:endParaRPr lang="pt-PT"/>
        </a:p>
      </dgm:t>
    </dgm:pt>
    <dgm:pt modelId="{EDCCA96B-A6AC-485C-88FC-85BE0EFE4743}" type="sibTrans" cxnId="{C2068666-0EA4-4A9A-9FFD-C8AF2D5700D7}">
      <dgm:prSet/>
      <dgm:spPr/>
      <dgm:t>
        <a:bodyPr/>
        <a:lstStyle/>
        <a:p>
          <a:endParaRPr lang="pt-PT"/>
        </a:p>
      </dgm:t>
    </dgm:pt>
    <dgm:pt modelId="{D5DDCE05-02DB-457D-979B-84B122859265}">
      <dgm:prSet/>
      <dgm:spPr>
        <a:solidFill>
          <a:schemeClr val="tx1"/>
        </a:solidFill>
      </dgm:spPr>
      <dgm:t>
        <a:bodyPr/>
        <a:lstStyle/>
        <a:p>
          <a:r>
            <a:rPr lang="pt-PT" b="1">
              <a:solidFill>
                <a:srgbClr val="FFC000"/>
              </a:solidFill>
            </a:rPr>
            <a:t>Critério</a:t>
          </a:r>
        </a:p>
        <a:p>
          <a:r>
            <a:rPr lang="pt-PT" b="1">
              <a:solidFill>
                <a:srgbClr val="FFC000"/>
              </a:solidFill>
            </a:rPr>
            <a:t>Localização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3407DAF-188C-40ED-8E2C-5A55ADCB0F72}" type="parTrans" cxnId="{BEE1FFA1-A68F-4CD7-BCA3-08EBB45A1826}">
      <dgm:prSet/>
      <dgm:spPr/>
      <dgm:t>
        <a:bodyPr/>
        <a:lstStyle/>
        <a:p>
          <a:endParaRPr lang="pt-PT"/>
        </a:p>
      </dgm:t>
    </dgm:pt>
    <dgm:pt modelId="{E952E79A-ADCA-47D7-9AAF-E40B18884B5C}" type="sibTrans" cxnId="{BEE1FFA1-A68F-4CD7-BCA3-08EBB45A1826}">
      <dgm:prSet/>
      <dgm:spPr/>
      <dgm:t>
        <a:bodyPr/>
        <a:lstStyle/>
        <a:p>
          <a:endParaRPr lang="pt-PT"/>
        </a:p>
      </dgm:t>
    </dgm:pt>
    <dgm:pt modelId="{F5B6090C-2991-488E-842D-E2BE7E6E607D}">
      <dgm:prSet/>
      <dgm:spPr>
        <a:solidFill>
          <a:schemeClr val="tx1"/>
        </a:solidFill>
      </dgm:spPr>
      <dgm:t>
        <a:bodyPr/>
        <a:lstStyle/>
        <a:p>
          <a:r>
            <a:rPr lang="pt-PT">
              <a:solidFill>
                <a:schemeClr val="bg1"/>
              </a:solidFill>
            </a:rPr>
            <a:t>Critério</a:t>
          </a:r>
        </a:p>
        <a:p>
          <a:r>
            <a:rPr lang="pt-PT">
              <a:solidFill>
                <a:schemeClr val="bg1"/>
              </a:solidFill>
            </a:rPr>
            <a:t>Áreas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2B83604-067F-498C-8721-2D015A79D01F}" type="parTrans" cxnId="{E5E8C9E2-4222-40A6-9E58-48714D0697DA}">
      <dgm:prSet/>
      <dgm:spPr/>
      <dgm:t>
        <a:bodyPr/>
        <a:lstStyle/>
        <a:p>
          <a:endParaRPr lang="pt-PT"/>
        </a:p>
      </dgm:t>
    </dgm:pt>
    <dgm:pt modelId="{A9933D92-5FF2-45C0-B716-DECA74D3E748}" type="sibTrans" cxnId="{E5E8C9E2-4222-40A6-9E58-48714D0697DA}">
      <dgm:prSet/>
      <dgm:spPr/>
      <dgm:t>
        <a:bodyPr/>
        <a:lstStyle/>
        <a:p>
          <a:endParaRPr lang="pt-PT"/>
        </a:p>
      </dgm:t>
    </dgm:pt>
    <dgm:pt modelId="{7CA8C695-DC1B-4416-B511-7D2456132BBB}">
      <dgm:prSet/>
      <dgm:spPr>
        <a:solidFill>
          <a:schemeClr val="tx1"/>
        </a:solidFill>
      </dgm:spPr>
      <dgm:t>
        <a:bodyPr/>
        <a:lstStyle/>
        <a:p>
          <a:r>
            <a:rPr lang="pt-PT">
              <a:solidFill>
                <a:schemeClr val="bg1"/>
              </a:solidFill>
            </a:rPr>
            <a:t>Calculo</a:t>
          </a:r>
        </a:p>
        <a:p>
          <a:r>
            <a:rPr lang="pt-PT">
              <a:solidFill>
                <a:schemeClr val="bg1"/>
              </a:solidFill>
            </a:rPr>
            <a:t>Taxas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51ABE6AC-93A5-4812-A180-1CAF1571BDD1}" type="parTrans" cxnId="{50BCADCF-0CFB-463C-8CBC-23D0F5A1A992}">
      <dgm:prSet/>
      <dgm:spPr/>
      <dgm:t>
        <a:bodyPr/>
        <a:lstStyle/>
        <a:p>
          <a:endParaRPr lang="pt-PT"/>
        </a:p>
      </dgm:t>
    </dgm:pt>
    <dgm:pt modelId="{83108223-E21A-48DC-881D-3248790D481D}" type="sibTrans" cxnId="{50BCADCF-0CFB-463C-8CBC-23D0F5A1A992}">
      <dgm:prSet/>
      <dgm:spPr/>
      <dgm:t>
        <a:bodyPr/>
        <a:lstStyle/>
        <a:p>
          <a:endParaRPr lang="pt-PT"/>
        </a:p>
      </dgm:t>
    </dgm:pt>
    <dgm:pt modelId="{C9E2D559-72A5-4481-9952-56C559DE70D8}" type="pres">
      <dgm:prSet presAssocID="{ACB515E6-6BB0-44D9-AD0C-041D464230F3}" presName="Name0" presStyleCnt="0">
        <dgm:presLayoutVars>
          <dgm:dir/>
          <dgm:resizeHandles val="exact"/>
        </dgm:presLayoutVars>
      </dgm:prSet>
      <dgm:spPr/>
    </dgm:pt>
    <dgm:pt modelId="{6740BF90-BD40-45A1-A21C-0A88BA17E580}" type="pres">
      <dgm:prSet presAssocID="{83C6EAA4-F301-49F0-8700-41E8649418C5}" presName="parTxOnly" presStyleLbl="node1" presStyleIdx="0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2FEC67CF-7E91-4CF6-961A-D46458DEEC12}" type="pres">
      <dgm:prSet presAssocID="{EDCCA96B-A6AC-485C-88FC-85BE0EFE4743}" presName="parSpace" presStyleCnt="0"/>
      <dgm:spPr/>
    </dgm:pt>
    <dgm:pt modelId="{FAB58EF1-379C-43D5-8F43-2FFDD6212DA3}" type="pres">
      <dgm:prSet presAssocID="{D5DDCE05-02DB-457D-979B-84B122859265}" presName="parTxOnly" presStyleLbl="node1" presStyleIdx="1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88DBD05F-B66C-42E4-A48B-5EEE161892E0}" type="pres">
      <dgm:prSet presAssocID="{E952E79A-ADCA-47D7-9AAF-E40B18884B5C}" presName="parSpace" presStyleCnt="0"/>
      <dgm:spPr/>
    </dgm:pt>
    <dgm:pt modelId="{A7D0AA70-10F1-4647-A166-B67CA893740C}" type="pres">
      <dgm:prSet presAssocID="{F5B6090C-2991-488E-842D-E2BE7E6E607D}" presName="parTxOnly" presStyleLbl="node1" presStyleIdx="2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E61E31C8-104B-4F75-B7D2-A2BABD21F196}" type="pres">
      <dgm:prSet presAssocID="{A9933D92-5FF2-45C0-B716-DECA74D3E748}" presName="parSpace" presStyleCnt="0"/>
      <dgm:spPr/>
    </dgm:pt>
    <dgm:pt modelId="{95DA8AF6-CBA0-49D6-92F8-BEF9D7820FCF}" type="pres">
      <dgm:prSet presAssocID="{7CA8C695-DC1B-4416-B511-7D2456132BBB}" presName="parTxOnly" presStyleLbl="node1" presStyleIdx="3" presStyleCnt="4" custLinFactNeighborX="68216" custLinFactNeighborY="11003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</dgm:ptLst>
  <dgm:cxnLst>
    <dgm:cxn modelId="{AB8A1BB8-C0C3-4B12-AAB8-968713AE28F0}" type="presOf" srcId="{F5B6090C-2991-488E-842D-E2BE7E6E607D}" destId="{A7D0AA70-10F1-4647-A166-B67CA893740C}" srcOrd="0" destOrd="0" presId="urn:microsoft.com/office/officeart/2005/8/layout/hChevron3"/>
    <dgm:cxn modelId="{8A5591F0-A573-4CD7-BD24-A973F18597A4}" type="presOf" srcId="{83C6EAA4-F301-49F0-8700-41E8649418C5}" destId="{6740BF90-BD40-45A1-A21C-0A88BA17E580}" srcOrd="0" destOrd="0" presId="urn:microsoft.com/office/officeart/2005/8/layout/hChevron3"/>
    <dgm:cxn modelId="{50BCADCF-0CFB-463C-8CBC-23D0F5A1A992}" srcId="{ACB515E6-6BB0-44D9-AD0C-041D464230F3}" destId="{7CA8C695-DC1B-4416-B511-7D2456132BBB}" srcOrd="3" destOrd="0" parTransId="{51ABE6AC-93A5-4812-A180-1CAF1571BDD1}" sibTransId="{83108223-E21A-48DC-881D-3248790D481D}"/>
    <dgm:cxn modelId="{BEE1FFA1-A68F-4CD7-BCA3-08EBB45A1826}" srcId="{ACB515E6-6BB0-44D9-AD0C-041D464230F3}" destId="{D5DDCE05-02DB-457D-979B-84B122859265}" srcOrd="1" destOrd="0" parTransId="{83407DAF-188C-40ED-8E2C-5A55ADCB0F72}" sibTransId="{E952E79A-ADCA-47D7-9AAF-E40B18884B5C}"/>
    <dgm:cxn modelId="{0F8F8EC8-3778-4CD5-AC8A-C8DF583FB7F8}" type="presOf" srcId="{ACB515E6-6BB0-44D9-AD0C-041D464230F3}" destId="{C9E2D559-72A5-4481-9952-56C559DE70D8}" srcOrd="0" destOrd="0" presId="urn:microsoft.com/office/officeart/2005/8/layout/hChevron3"/>
    <dgm:cxn modelId="{99705F58-BD7D-426C-BEE0-90438F098E74}" type="presOf" srcId="{D5DDCE05-02DB-457D-979B-84B122859265}" destId="{FAB58EF1-379C-43D5-8F43-2FFDD6212DA3}" srcOrd="0" destOrd="0" presId="urn:microsoft.com/office/officeart/2005/8/layout/hChevron3"/>
    <dgm:cxn modelId="{C2068666-0EA4-4A9A-9FFD-C8AF2D5700D7}" srcId="{ACB515E6-6BB0-44D9-AD0C-041D464230F3}" destId="{83C6EAA4-F301-49F0-8700-41E8649418C5}" srcOrd="0" destOrd="0" parTransId="{F5F97D6E-25ED-49F2-9BF4-E24CD40062B4}" sibTransId="{EDCCA96B-A6AC-485C-88FC-85BE0EFE4743}"/>
    <dgm:cxn modelId="{5DA667C2-B26D-4D78-92F8-243A08F1D9EE}" type="presOf" srcId="{7CA8C695-DC1B-4416-B511-7D2456132BBB}" destId="{95DA8AF6-CBA0-49D6-92F8-BEF9D7820FCF}" srcOrd="0" destOrd="0" presId="urn:microsoft.com/office/officeart/2005/8/layout/hChevron3"/>
    <dgm:cxn modelId="{E5E8C9E2-4222-40A6-9E58-48714D0697DA}" srcId="{ACB515E6-6BB0-44D9-AD0C-041D464230F3}" destId="{F5B6090C-2991-488E-842D-E2BE7E6E607D}" srcOrd="2" destOrd="0" parTransId="{62B83604-067F-498C-8721-2D015A79D01F}" sibTransId="{A9933D92-5FF2-45C0-B716-DECA74D3E748}"/>
    <dgm:cxn modelId="{9BE45D48-2F06-49CA-8FDA-6A00AC6A4834}" type="presParOf" srcId="{C9E2D559-72A5-4481-9952-56C559DE70D8}" destId="{6740BF90-BD40-45A1-A21C-0A88BA17E580}" srcOrd="0" destOrd="0" presId="urn:microsoft.com/office/officeart/2005/8/layout/hChevron3"/>
    <dgm:cxn modelId="{A8475259-4311-410A-8610-7049E0389007}" type="presParOf" srcId="{C9E2D559-72A5-4481-9952-56C559DE70D8}" destId="{2FEC67CF-7E91-4CF6-961A-D46458DEEC12}" srcOrd="1" destOrd="0" presId="urn:microsoft.com/office/officeart/2005/8/layout/hChevron3"/>
    <dgm:cxn modelId="{416984C5-4B6B-4C5C-A39F-B69C4494F2F4}" type="presParOf" srcId="{C9E2D559-72A5-4481-9952-56C559DE70D8}" destId="{FAB58EF1-379C-43D5-8F43-2FFDD6212DA3}" srcOrd="2" destOrd="0" presId="urn:microsoft.com/office/officeart/2005/8/layout/hChevron3"/>
    <dgm:cxn modelId="{293A2B98-EB72-48B5-80D3-2157888A9270}" type="presParOf" srcId="{C9E2D559-72A5-4481-9952-56C559DE70D8}" destId="{88DBD05F-B66C-42E4-A48B-5EEE161892E0}" srcOrd="3" destOrd="0" presId="urn:microsoft.com/office/officeart/2005/8/layout/hChevron3"/>
    <dgm:cxn modelId="{2F54AD97-446B-4623-9FA2-FFBC468AE20B}" type="presParOf" srcId="{C9E2D559-72A5-4481-9952-56C559DE70D8}" destId="{A7D0AA70-10F1-4647-A166-B67CA893740C}" srcOrd="4" destOrd="0" presId="urn:microsoft.com/office/officeart/2005/8/layout/hChevron3"/>
    <dgm:cxn modelId="{0E1863E0-2BC3-48CE-90DA-C8B687B567C5}" type="presParOf" srcId="{C9E2D559-72A5-4481-9952-56C559DE70D8}" destId="{E61E31C8-104B-4F75-B7D2-A2BABD21F196}" srcOrd="5" destOrd="0" presId="urn:microsoft.com/office/officeart/2005/8/layout/hChevron3"/>
    <dgm:cxn modelId="{A0D4B1D7-E80A-43CE-BEFB-67A35C1B6D55}" type="presParOf" srcId="{C9E2D559-72A5-4481-9952-56C559DE70D8}" destId="{95DA8AF6-CBA0-49D6-92F8-BEF9D7820FCF}" srcOrd="6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ACB515E6-6BB0-44D9-AD0C-041D464230F3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83C6EAA4-F301-49F0-8700-41E8649418C5}">
      <dgm:prSet phldrT="[Texto]"/>
      <dgm:spPr>
        <a:solidFill>
          <a:schemeClr val="tx1"/>
        </a:solidFill>
      </dgm:spPr>
      <dgm:t>
        <a:bodyPr/>
        <a:lstStyle/>
        <a:p>
          <a:r>
            <a:rPr lang="pt-PT" b="0">
              <a:solidFill>
                <a:schemeClr val="bg1"/>
              </a:solidFill>
            </a:rPr>
            <a:t>Introdução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F5F97D6E-25ED-49F2-9BF4-E24CD40062B4}" type="parTrans" cxnId="{C2068666-0EA4-4A9A-9FFD-C8AF2D5700D7}">
      <dgm:prSet/>
      <dgm:spPr/>
      <dgm:t>
        <a:bodyPr/>
        <a:lstStyle/>
        <a:p>
          <a:endParaRPr lang="pt-PT"/>
        </a:p>
      </dgm:t>
    </dgm:pt>
    <dgm:pt modelId="{EDCCA96B-A6AC-485C-88FC-85BE0EFE4743}" type="sibTrans" cxnId="{C2068666-0EA4-4A9A-9FFD-C8AF2D5700D7}">
      <dgm:prSet/>
      <dgm:spPr/>
      <dgm:t>
        <a:bodyPr/>
        <a:lstStyle/>
        <a:p>
          <a:endParaRPr lang="pt-PT"/>
        </a:p>
      </dgm:t>
    </dgm:pt>
    <dgm:pt modelId="{D5DDCE05-02DB-457D-979B-84B122859265}">
      <dgm:prSet/>
      <dgm:spPr>
        <a:solidFill>
          <a:schemeClr val="tx1"/>
        </a:solidFill>
      </dgm:spPr>
      <dgm:t>
        <a:bodyPr/>
        <a:lstStyle/>
        <a:p>
          <a:r>
            <a:rPr lang="pt-PT" b="0">
              <a:solidFill>
                <a:schemeClr val="bg1"/>
              </a:solidFill>
            </a:rPr>
            <a:t>Critério</a:t>
          </a:r>
        </a:p>
        <a:p>
          <a:r>
            <a:rPr lang="pt-PT" b="0">
              <a:solidFill>
                <a:schemeClr val="bg1"/>
              </a:solidFill>
            </a:rPr>
            <a:t>Localização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3407DAF-188C-40ED-8E2C-5A55ADCB0F72}" type="parTrans" cxnId="{BEE1FFA1-A68F-4CD7-BCA3-08EBB45A1826}">
      <dgm:prSet/>
      <dgm:spPr/>
      <dgm:t>
        <a:bodyPr/>
        <a:lstStyle/>
        <a:p>
          <a:endParaRPr lang="pt-PT"/>
        </a:p>
      </dgm:t>
    </dgm:pt>
    <dgm:pt modelId="{E952E79A-ADCA-47D7-9AAF-E40B18884B5C}" type="sibTrans" cxnId="{BEE1FFA1-A68F-4CD7-BCA3-08EBB45A1826}">
      <dgm:prSet/>
      <dgm:spPr/>
      <dgm:t>
        <a:bodyPr/>
        <a:lstStyle/>
        <a:p>
          <a:endParaRPr lang="pt-PT"/>
        </a:p>
      </dgm:t>
    </dgm:pt>
    <dgm:pt modelId="{F5B6090C-2991-488E-842D-E2BE7E6E607D}">
      <dgm:prSet/>
      <dgm:spPr>
        <a:solidFill>
          <a:schemeClr val="tx1"/>
        </a:solidFill>
      </dgm:spPr>
      <dgm:t>
        <a:bodyPr/>
        <a:lstStyle/>
        <a:p>
          <a:r>
            <a:rPr lang="pt-PT" b="1">
              <a:solidFill>
                <a:srgbClr val="FFC000"/>
              </a:solidFill>
            </a:rPr>
            <a:t>Critério</a:t>
          </a:r>
        </a:p>
        <a:p>
          <a:r>
            <a:rPr lang="pt-PT" b="1">
              <a:solidFill>
                <a:srgbClr val="FFC000"/>
              </a:solidFill>
            </a:rPr>
            <a:t>Áreas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2B83604-067F-498C-8721-2D015A79D01F}" type="parTrans" cxnId="{E5E8C9E2-4222-40A6-9E58-48714D0697DA}">
      <dgm:prSet/>
      <dgm:spPr/>
      <dgm:t>
        <a:bodyPr/>
        <a:lstStyle/>
        <a:p>
          <a:endParaRPr lang="pt-PT"/>
        </a:p>
      </dgm:t>
    </dgm:pt>
    <dgm:pt modelId="{A9933D92-5FF2-45C0-B716-DECA74D3E748}" type="sibTrans" cxnId="{E5E8C9E2-4222-40A6-9E58-48714D0697DA}">
      <dgm:prSet/>
      <dgm:spPr/>
      <dgm:t>
        <a:bodyPr/>
        <a:lstStyle/>
        <a:p>
          <a:endParaRPr lang="pt-PT"/>
        </a:p>
      </dgm:t>
    </dgm:pt>
    <dgm:pt modelId="{7CA8C695-DC1B-4416-B511-7D2456132BBB}">
      <dgm:prSet/>
      <dgm:spPr>
        <a:solidFill>
          <a:schemeClr val="tx1"/>
        </a:solidFill>
      </dgm:spPr>
      <dgm:t>
        <a:bodyPr/>
        <a:lstStyle/>
        <a:p>
          <a:r>
            <a:rPr lang="pt-PT">
              <a:solidFill>
                <a:schemeClr val="bg1"/>
              </a:solidFill>
            </a:rPr>
            <a:t>Calculo</a:t>
          </a:r>
        </a:p>
        <a:p>
          <a:r>
            <a:rPr lang="pt-PT">
              <a:solidFill>
                <a:schemeClr val="bg1"/>
              </a:solidFill>
            </a:rPr>
            <a:t>Taxas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51ABE6AC-93A5-4812-A180-1CAF1571BDD1}" type="parTrans" cxnId="{50BCADCF-0CFB-463C-8CBC-23D0F5A1A992}">
      <dgm:prSet/>
      <dgm:spPr/>
      <dgm:t>
        <a:bodyPr/>
        <a:lstStyle/>
        <a:p>
          <a:endParaRPr lang="pt-PT"/>
        </a:p>
      </dgm:t>
    </dgm:pt>
    <dgm:pt modelId="{83108223-E21A-48DC-881D-3248790D481D}" type="sibTrans" cxnId="{50BCADCF-0CFB-463C-8CBC-23D0F5A1A992}">
      <dgm:prSet/>
      <dgm:spPr/>
      <dgm:t>
        <a:bodyPr/>
        <a:lstStyle/>
        <a:p>
          <a:endParaRPr lang="pt-PT"/>
        </a:p>
      </dgm:t>
    </dgm:pt>
    <dgm:pt modelId="{C9E2D559-72A5-4481-9952-56C559DE70D8}" type="pres">
      <dgm:prSet presAssocID="{ACB515E6-6BB0-44D9-AD0C-041D464230F3}" presName="Name0" presStyleCnt="0">
        <dgm:presLayoutVars>
          <dgm:dir/>
          <dgm:resizeHandles val="exact"/>
        </dgm:presLayoutVars>
      </dgm:prSet>
      <dgm:spPr/>
    </dgm:pt>
    <dgm:pt modelId="{6740BF90-BD40-45A1-A21C-0A88BA17E580}" type="pres">
      <dgm:prSet presAssocID="{83C6EAA4-F301-49F0-8700-41E8649418C5}" presName="parTxOnly" presStyleLbl="node1" presStyleIdx="0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2FEC67CF-7E91-4CF6-961A-D46458DEEC12}" type="pres">
      <dgm:prSet presAssocID="{EDCCA96B-A6AC-485C-88FC-85BE0EFE4743}" presName="parSpace" presStyleCnt="0"/>
      <dgm:spPr/>
    </dgm:pt>
    <dgm:pt modelId="{FAB58EF1-379C-43D5-8F43-2FFDD6212DA3}" type="pres">
      <dgm:prSet presAssocID="{D5DDCE05-02DB-457D-979B-84B122859265}" presName="parTxOnly" presStyleLbl="node1" presStyleIdx="1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88DBD05F-B66C-42E4-A48B-5EEE161892E0}" type="pres">
      <dgm:prSet presAssocID="{E952E79A-ADCA-47D7-9AAF-E40B18884B5C}" presName="parSpace" presStyleCnt="0"/>
      <dgm:spPr/>
    </dgm:pt>
    <dgm:pt modelId="{A7D0AA70-10F1-4647-A166-B67CA893740C}" type="pres">
      <dgm:prSet presAssocID="{F5B6090C-2991-488E-842D-E2BE7E6E607D}" presName="parTxOnly" presStyleLbl="node1" presStyleIdx="2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E61E31C8-104B-4F75-B7D2-A2BABD21F196}" type="pres">
      <dgm:prSet presAssocID="{A9933D92-5FF2-45C0-B716-DECA74D3E748}" presName="parSpace" presStyleCnt="0"/>
      <dgm:spPr/>
    </dgm:pt>
    <dgm:pt modelId="{95DA8AF6-CBA0-49D6-92F8-BEF9D7820FCF}" type="pres">
      <dgm:prSet presAssocID="{7CA8C695-DC1B-4416-B511-7D2456132BBB}" presName="parTxOnly" presStyleLbl="node1" presStyleIdx="3" presStyleCnt="4" custLinFactNeighborX="68216" custLinFactNeighborY="11003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</dgm:ptLst>
  <dgm:cxnLst>
    <dgm:cxn modelId="{E5E8C9E2-4222-40A6-9E58-48714D0697DA}" srcId="{ACB515E6-6BB0-44D9-AD0C-041D464230F3}" destId="{F5B6090C-2991-488E-842D-E2BE7E6E607D}" srcOrd="2" destOrd="0" parTransId="{62B83604-067F-498C-8721-2D015A79D01F}" sibTransId="{A9933D92-5FF2-45C0-B716-DECA74D3E748}"/>
    <dgm:cxn modelId="{2855594B-E2D3-4C18-AC31-0C4A15BB5BBB}" type="presOf" srcId="{ACB515E6-6BB0-44D9-AD0C-041D464230F3}" destId="{C9E2D559-72A5-4481-9952-56C559DE70D8}" srcOrd="0" destOrd="0" presId="urn:microsoft.com/office/officeart/2005/8/layout/hChevron3"/>
    <dgm:cxn modelId="{C2068666-0EA4-4A9A-9FFD-C8AF2D5700D7}" srcId="{ACB515E6-6BB0-44D9-AD0C-041D464230F3}" destId="{83C6EAA4-F301-49F0-8700-41E8649418C5}" srcOrd="0" destOrd="0" parTransId="{F5F97D6E-25ED-49F2-9BF4-E24CD40062B4}" sibTransId="{EDCCA96B-A6AC-485C-88FC-85BE0EFE4743}"/>
    <dgm:cxn modelId="{50BCADCF-0CFB-463C-8CBC-23D0F5A1A992}" srcId="{ACB515E6-6BB0-44D9-AD0C-041D464230F3}" destId="{7CA8C695-DC1B-4416-B511-7D2456132BBB}" srcOrd="3" destOrd="0" parTransId="{51ABE6AC-93A5-4812-A180-1CAF1571BDD1}" sibTransId="{83108223-E21A-48DC-881D-3248790D481D}"/>
    <dgm:cxn modelId="{BEE1FFA1-A68F-4CD7-BCA3-08EBB45A1826}" srcId="{ACB515E6-6BB0-44D9-AD0C-041D464230F3}" destId="{D5DDCE05-02DB-457D-979B-84B122859265}" srcOrd="1" destOrd="0" parTransId="{83407DAF-188C-40ED-8E2C-5A55ADCB0F72}" sibTransId="{E952E79A-ADCA-47D7-9AAF-E40B18884B5C}"/>
    <dgm:cxn modelId="{56F99E3A-E659-4A66-8BED-F6E3F0125E49}" type="presOf" srcId="{83C6EAA4-F301-49F0-8700-41E8649418C5}" destId="{6740BF90-BD40-45A1-A21C-0A88BA17E580}" srcOrd="0" destOrd="0" presId="urn:microsoft.com/office/officeart/2005/8/layout/hChevron3"/>
    <dgm:cxn modelId="{3567153E-ECC5-49D6-A8AF-6690386A9998}" type="presOf" srcId="{D5DDCE05-02DB-457D-979B-84B122859265}" destId="{FAB58EF1-379C-43D5-8F43-2FFDD6212DA3}" srcOrd="0" destOrd="0" presId="urn:microsoft.com/office/officeart/2005/8/layout/hChevron3"/>
    <dgm:cxn modelId="{73489A59-14E8-47BD-B501-AF163D07DB7E}" type="presOf" srcId="{7CA8C695-DC1B-4416-B511-7D2456132BBB}" destId="{95DA8AF6-CBA0-49D6-92F8-BEF9D7820FCF}" srcOrd="0" destOrd="0" presId="urn:microsoft.com/office/officeart/2005/8/layout/hChevron3"/>
    <dgm:cxn modelId="{158D643F-D57F-4727-BD6C-46912DA1FC69}" type="presOf" srcId="{F5B6090C-2991-488E-842D-E2BE7E6E607D}" destId="{A7D0AA70-10F1-4647-A166-B67CA893740C}" srcOrd="0" destOrd="0" presId="urn:microsoft.com/office/officeart/2005/8/layout/hChevron3"/>
    <dgm:cxn modelId="{76171076-52BF-4DA8-94A2-E6E09AF3EA10}" type="presParOf" srcId="{C9E2D559-72A5-4481-9952-56C559DE70D8}" destId="{6740BF90-BD40-45A1-A21C-0A88BA17E580}" srcOrd="0" destOrd="0" presId="urn:microsoft.com/office/officeart/2005/8/layout/hChevron3"/>
    <dgm:cxn modelId="{8DE541C0-ED08-42FE-9A87-7B639F1A0E6B}" type="presParOf" srcId="{C9E2D559-72A5-4481-9952-56C559DE70D8}" destId="{2FEC67CF-7E91-4CF6-961A-D46458DEEC12}" srcOrd="1" destOrd="0" presId="urn:microsoft.com/office/officeart/2005/8/layout/hChevron3"/>
    <dgm:cxn modelId="{5AE89E9E-C1E3-4733-B0A2-5D6E4CF88F63}" type="presParOf" srcId="{C9E2D559-72A5-4481-9952-56C559DE70D8}" destId="{FAB58EF1-379C-43D5-8F43-2FFDD6212DA3}" srcOrd="2" destOrd="0" presId="urn:microsoft.com/office/officeart/2005/8/layout/hChevron3"/>
    <dgm:cxn modelId="{F4C69F6C-C7A5-4A42-A856-CBF17746A8E5}" type="presParOf" srcId="{C9E2D559-72A5-4481-9952-56C559DE70D8}" destId="{88DBD05F-B66C-42E4-A48B-5EEE161892E0}" srcOrd="3" destOrd="0" presId="urn:microsoft.com/office/officeart/2005/8/layout/hChevron3"/>
    <dgm:cxn modelId="{CB985034-5026-4BF1-8F25-9B5B32DDD15B}" type="presParOf" srcId="{C9E2D559-72A5-4481-9952-56C559DE70D8}" destId="{A7D0AA70-10F1-4647-A166-B67CA893740C}" srcOrd="4" destOrd="0" presId="urn:microsoft.com/office/officeart/2005/8/layout/hChevron3"/>
    <dgm:cxn modelId="{2D5A4FA6-5DEC-400A-91C3-76C40FC5FB62}" type="presParOf" srcId="{C9E2D559-72A5-4481-9952-56C559DE70D8}" destId="{E61E31C8-104B-4F75-B7D2-A2BABD21F196}" srcOrd="5" destOrd="0" presId="urn:microsoft.com/office/officeart/2005/8/layout/hChevron3"/>
    <dgm:cxn modelId="{45D465AA-AC6C-4D59-A615-96E62B87F304}" type="presParOf" srcId="{C9E2D559-72A5-4481-9952-56C559DE70D8}" destId="{95DA8AF6-CBA0-49D6-92F8-BEF9D7820FCF}" srcOrd="6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ACB515E6-6BB0-44D9-AD0C-041D464230F3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83C6EAA4-F301-49F0-8700-41E8649418C5}">
      <dgm:prSet phldrT="[Texto]"/>
      <dgm:spPr>
        <a:solidFill>
          <a:schemeClr val="tx1"/>
        </a:solidFill>
      </dgm:spPr>
      <dgm:t>
        <a:bodyPr/>
        <a:lstStyle/>
        <a:p>
          <a:r>
            <a:rPr lang="pt-PT" b="0">
              <a:solidFill>
                <a:schemeClr val="bg1"/>
              </a:solidFill>
            </a:rPr>
            <a:t>Introdução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F5F97D6E-25ED-49F2-9BF4-E24CD40062B4}" type="parTrans" cxnId="{C2068666-0EA4-4A9A-9FFD-C8AF2D5700D7}">
      <dgm:prSet/>
      <dgm:spPr/>
      <dgm:t>
        <a:bodyPr/>
        <a:lstStyle/>
        <a:p>
          <a:endParaRPr lang="pt-PT"/>
        </a:p>
      </dgm:t>
    </dgm:pt>
    <dgm:pt modelId="{EDCCA96B-A6AC-485C-88FC-85BE0EFE4743}" type="sibTrans" cxnId="{C2068666-0EA4-4A9A-9FFD-C8AF2D5700D7}">
      <dgm:prSet/>
      <dgm:spPr/>
      <dgm:t>
        <a:bodyPr/>
        <a:lstStyle/>
        <a:p>
          <a:endParaRPr lang="pt-PT"/>
        </a:p>
      </dgm:t>
    </dgm:pt>
    <dgm:pt modelId="{D5DDCE05-02DB-457D-979B-84B122859265}">
      <dgm:prSet/>
      <dgm:spPr>
        <a:solidFill>
          <a:schemeClr val="tx1"/>
        </a:solidFill>
      </dgm:spPr>
      <dgm:t>
        <a:bodyPr/>
        <a:lstStyle/>
        <a:p>
          <a:r>
            <a:rPr lang="pt-PT" b="0">
              <a:solidFill>
                <a:schemeClr val="bg1"/>
              </a:solidFill>
            </a:rPr>
            <a:t>Critério</a:t>
          </a:r>
        </a:p>
        <a:p>
          <a:r>
            <a:rPr lang="pt-PT" b="0">
              <a:solidFill>
                <a:schemeClr val="bg1"/>
              </a:solidFill>
            </a:rPr>
            <a:t>Localização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3407DAF-188C-40ED-8E2C-5A55ADCB0F72}" type="parTrans" cxnId="{BEE1FFA1-A68F-4CD7-BCA3-08EBB45A1826}">
      <dgm:prSet/>
      <dgm:spPr/>
      <dgm:t>
        <a:bodyPr/>
        <a:lstStyle/>
        <a:p>
          <a:endParaRPr lang="pt-PT"/>
        </a:p>
      </dgm:t>
    </dgm:pt>
    <dgm:pt modelId="{E952E79A-ADCA-47D7-9AAF-E40B18884B5C}" type="sibTrans" cxnId="{BEE1FFA1-A68F-4CD7-BCA3-08EBB45A1826}">
      <dgm:prSet/>
      <dgm:spPr/>
      <dgm:t>
        <a:bodyPr/>
        <a:lstStyle/>
        <a:p>
          <a:endParaRPr lang="pt-PT"/>
        </a:p>
      </dgm:t>
    </dgm:pt>
    <dgm:pt modelId="{F5B6090C-2991-488E-842D-E2BE7E6E607D}">
      <dgm:prSet/>
      <dgm:spPr>
        <a:solidFill>
          <a:schemeClr val="tx1"/>
        </a:solidFill>
      </dgm:spPr>
      <dgm:t>
        <a:bodyPr/>
        <a:lstStyle/>
        <a:p>
          <a:r>
            <a:rPr lang="pt-PT" b="0">
              <a:solidFill>
                <a:schemeClr val="bg1"/>
              </a:solidFill>
            </a:rPr>
            <a:t>Critério</a:t>
          </a:r>
        </a:p>
        <a:p>
          <a:r>
            <a:rPr lang="pt-PT" b="0">
              <a:solidFill>
                <a:schemeClr val="bg1"/>
              </a:solidFill>
            </a:rPr>
            <a:t>Áreas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2B83604-067F-498C-8721-2D015A79D01F}" type="parTrans" cxnId="{E5E8C9E2-4222-40A6-9E58-48714D0697DA}">
      <dgm:prSet/>
      <dgm:spPr/>
      <dgm:t>
        <a:bodyPr/>
        <a:lstStyle/>
        <a:p>
          <a:endParaRPr lang="pt-PT"/>
        </a:p>
      </dgm:t>
    </dgm:pt>
    <dgm:pt modelId="{A9933D92-5FF2-45C0-B716-DECA74D3E748}" type="sibTrans" cxnId="{E5E8C9E2-4222-40A6-9E58-48714D0697DA}">
      <dgm:prSet/>
      <dgm:spPr/>
      <dgm:t>
        <a:bodyPr/>
        <a:lstStyle/>
        <a:p>
          <a:endParaRPr lang="pt-PT"/>
        </a:p>
      </dgm:t>
    </dgm:pt>
    <dgm:pt modelId="{7CA8C695-DC1B-4416-B511-7D2456132BBB}">
      <dgm:prSet/>
      <dgm:spPr>
        <a:solidFill>
          <a:schemeClr val="tx1"/>
        </a:solidFill>
      </dgm:spPr>
      <dgm:t>
        <a:bodyPr/>
        <a:lstStyle/>
        <a:p>
          <a:r>
            <a:rPr lang="pt-PT" b="1">
              <a:solidFill>
                <a:srgbClr val="FFC000"/>
              </a:solidFill>
            </a:rPr>
            <a:t>Calculo</a:t>
          </a:r>
        </a:p>
        <a:p>
          <a:r>
            <a:rPr lang="pt-PT" b="1">
              <a:solidFill>
                <a:srgbClr val="FFC000"/>
              </a:solidFill>
            </a:rPr>
            <a:t>Taxas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51ABE6AC-93A5-4812-A180-1CAF1571BDD1}" type="parTrans" cxnId="{50BCADCF-0CFB-463C-8CBC-23D0F5A1A992}">
      <dgm:prSet/>
      <dgm:spPr/>
      <dgm:t>
        <a:bodyPr/>
        <a:lstStyle/>
        <a:p>
          <a:endParaRPr lang="pt-PT"/>
        </a:p>
      </dgm:t>
    </dgm:pt>
    <dgm:pt modelId="{83108223-E21A-48DC-881D-3248790D481D}" type="sibTrans" cxnId="{50BCADCF-0CFB-463C-8CBC-23D0F5A1A992}">
      <dgm:prSet/>
      <dgm:spPr/>
      <dgm:t>
        <a:bodyPr/>
        <a:lstStyle/>
        <a:p>
          <a:endParaRPr lang="pt-PT"/>
        </a:p>
      </dgm:t>
    </dgm:pt>
    <dgm:pt modelId="{C9E2D559-72A5-4481-9952-56C559DE70D8}" type="pres">
      <dgm:prSet presAssocID="{ACB515E6-6BB0-44D9-AD0C-041D464230F3}" presName="Name0" presStyleCnt="0">
        <dgm:presLayoutVars>
          <dgm:dir/>
          <dgm:resizeHandles val="exact"/>
        </dgm:presLayoutVars>
      </dgm:prSet>
      <dgm:spPr/>
    </dgm:pt>
    <dgm:pt modelId="{6740BF90-BD40-45A1-A21C-0A88BA17E580}" type="pres">
      <dgm:prSet presAssocID="{83C6EAA4-F301-49F0-8700-41E8649418C5}" presName="parTxOnly" presStyleLbl="node1" presStyleIdx="0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2FEC67CF-7E91-4CF6-961A-D46458DEEC12}" type="pres">
      <dgm:prSet presAssocID="{EDCCA96B-A6AC-485C-88FC-85BE0EFE4743}" presName="parSpace" presStyleCnt="0"/>
      <dgm:spPr/>
    </dgm:pt>
    <dgm:pt modelId="{FAB58EF1-379C-43D5-8F43-2FFDD6212DA3}" type="pres">
      <dgm:prSet presAssocID="{D5DDCE05-02DB-457D-979B-84B122859265}" presName="parTxOnly" presStyleLbl="node1" presStyleIdx="1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88DBD05F-B66C-42E4-A48B-5EEE161892E0}" type="pres">
      <dgm:prSet presAssocID="{E952E79A-ADCA-47D7-9AAF-E40B18884B5C}" presName="parSpace" presStyleCnt="0"/>
      <dgm:spPr/>
    </dgm:pt>
    <dgm:pt modelId="{A7D0AA70-10F1-4647-A166-B67CA893740C}" type="pres">
      <dgm:prSet presAssocID="{F5B6090C-2991-488E-842D-E2BE7E6E607D}" presName="parTxOnly" presStyleLbl="node1" presStyleIdx="2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E61E31C8-104B-4F75-B7D2-A2BABD21F196}" type="pres">
      <dgm:prSet presAssocID="{A9933D92-5FF2-45C0-B716-DECA74D3E748}" presName="parSpace" presStyleCnt="0"/>
      <dgm:spPr/>
    </dgm:pt>
    <dgm:pt modelId="{95DA8AF6-CBA0-49D6-92F8-BEF9D7820FCF}" type="pres">
      <dgm:prSet presAssocID="{7CA8C695-DC1B-4416-B511-7D2456132BBB}" presName="parTxOnly" presStyleLbl="node1" presStyleIdx="3" presStyleCnt="4" custLinFactNeighborX="68216" custLinFactNeighborY="11003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</dgm:ptLst>
  <dgm:cxnLst>
    <dgm:cxn modelId="{E5E8C9E2-4222-40A6-9E58-48714D0697DA}" srcId="{ACB515E6-6BB0-44D9-AD0C-041D464230F3}" destId="{F5B6090C-2991-488E-842D-E2BE7E6E607D}" srcOrd="2" destOrd="0" parTransId="{62B83604-067F-498C-8721-2D015A79D01F}" sibTransId="{A9933D92-5FF2-45C0-B716-DECA74D3E748}"/>
    <dgm:cxn modelId="{65F0FE0B-3C05-4715-ABD7-AC45A48433DD}" type="presOf" srcId="{F5B6090C-2991-488E-842D-E2BE7E6E607D}" destId="{A7D0AA70-10F1-4647-A166-B67CA893740C}" srcOrd="0" destOrd="0" presId="urn:microsoft.com/office/officeart/2005/8/layout/hChevron3"/>
    <dgm:cxn modelId="{5FF0F34C-3ED4-47A2-909A-395D9679377C}" type="presOf" srcId="{ACB515E6-6BB0-44D9-AD0C-041D464230F3}" destId="{C9E2D559-72A5-4481-9952-56C559DE70D8}" srcOrd="0" destOrd="0" presId="urn:microsoft.com/office/officeart/2005/8/layout/hChevron3"/>
    <dgm:cxn modelId="{744C75CC-EA70-48B6-B40E-AA0B04A94F19}" type="presOf" srcId="{7CA8C695-DC1B-4416-B511-7D2456132BBB}" destId="{95DA8AF6-CBA0-49D6-92F8-BEF9D7820FCF}" srcOrd="0" destOrd="0" presId="urn:microsoft.com/office/officeart/2005/8/layout/hChevron3"/>
    <dgm:cxn modelId="{C2068666-0EA4-4A9A-9FFD-C8AF2D5700D7}" srcId="{ACB515E6-6BB0-44D9-AD0C-041D464230F3}" destId="{83C6EAA4-F301-49F0-8700-41E8649418C5}" srcOrd="0" destOrd="0" parTransId="{F5F97D6E-25ED-49F2-9BF4-E24CD40062B4}" sibTransId="{EDCCA96B-A6AC-485C-88FC-85BE0EFE4743}"/>
    <dgm:cxn modelId="{50BCADCF-0CFB-463C-8CBC-23D0F5A1A992}" srcId="{ACB515E6-6BB0-44D9-AD0C-041D464230F3}" destId="{7CA8C695-DC1B-4416-B511-7D2456132BBB}" srcOrd="3" destOrd="0" parTransId="{51ABE6AC-93A5-4812-A180-1CAF1571BDD1}" sibTransId="{83108223-E21A-48DC-881D-3248790D481D}"/>
    <dgm:cxn modelId="{BEE1FFA1-A68F-4CD7-BCA3-08EBB45A1826}" srcId="{ACB515E6-6BB0-44D9-AD0C-041D464230F3}" destId="{D5DDCE05-02DB-457D-979B-84B122859265}" srcOrd="1" destOrd="0" parTransId="{83407DAF-188C-40ED-8E2C-5A55ADCB0F72}" sibTransId="{E952E79A-ADCA-47D7-9AAF-E40B18884B5C}"/>
    <dgm:cxn modelId="{E03B66AA-AB91-4918-A202-36486A449E2D}" type="presOf" srcId="{D5DDCE05-02DB-457D-979B-84B122859265}" destId="{FAB58EF1-379C-43D5-8F43-2FFDD6212DA3}" srcOrd="0" destOrd="0" presId="urn:microsoft.com/office/officeart/2005/8/layout/hChevron3"/>
    <dgm:cxn modelId="{D19324F0-F1CB-4066-A539-E649E09ADF35}" type="presOf" srcId="{83C6EAA4-F301-49F0-8700-41E8649418C5}" destId="{6740BF90-BD40-45A1-A21C-0A88BA17E580}" srcOrd="0" destOrd="0" presId="urn:microsoft.com/office/officeart/2005/8/layout/hChevron3"/>
    <dgm:cxn modelId="{6E27F840-277B-42B5-ABB9-B2820AE8493D}" type="presParOf" srcId="{C9E2D559-72A5-4481-9952-56C559DE70D8}" destId="{6740BF90-BD40-45A1-A21C-0A88BA17E580}" srcOrd="0" destOrd="0" presId="urn:microsoft.com/office/officeart/2005/8/layout/hChevron3"/>
    <dgm:cxn modelId="{FA7675FB-4E68-4462-8DBD-80D0ECEF5092}" type="presParOf" srcId="{C9E2D559-72A5-4481-9952-56C559DE70D8}" destId="{2FEC67CF-7E91-4CF6-961A-D46458DEEC12}" srcOrd="1" destOrd="0" presId="urn:microsoft.com/office/officeart/2005/8/layout/hChevron3"/>
    <dgm:cxn modelId="{760F6FDC-B138-4D56-9F22-7F212FC80DC9}" type="presParOf" srcId="{C9E2D559-72A5-4481-9952-56C559DE70D8}" destId="{FAB58EF1-379C-43D5-8F43-2FFDD6212DA3}" srcOrd="2" destOrd="0" presId="urn:microsoft.com/office/officeart/2005/8/layout/hChevron3"/>
    <dgm:cxn modelId="{CC4B4B34-164E-4DDF-83B7-AA473B44631D}" type="presParOf" srcId="{C9E2D559-72A5-4481-9952-56C559DE70D8}" destId="{88DBD05F-B66C-42E4-A48B-5EEE161892E0}" srcOrd="3" destOrd="0" presId="urn:microsoft.com/office/officeart/2005/8/layout/hChevron3"/>
    <dgm:cxn modelId="{78938EAD-135D-45CB-AC1E-19E0CA49BF93}" type="presParOf" srcId="{C9E2D559-72A5-4481-9952-56C559DE70D8}" destId="{A7D0AA70-10F1-4647-A166-B67CA893740C}" srcOrd="4" destOrd="0" presId="urn:microsoft.com/office/officeart/2005/8/layout/hChevron3"/>
    <dgm:cxn modelId="{5D8A0926-F18C-4FDA-A8D6-910C1EB6C81F}" type="presParOf" srcId="{C9E2D559-72A5-4481-9952-56C559DE70D8}" destId="{E61E31C8-104B-4F75-B7D2-A2BABD21F196}" srcOrd="5" destOrd="0" presId="urn:microsoft.com/office/officeart/2005/8/layout/hChevron3"/>
    <dgm:cxn modelId="{F35718A7-4125-4817-95D8-09E94EF013EB}" type="presParOf" srcId="{C9E2D559-72A5-4481-9952-56C559DE70D8}" destId="{95DA8AF6-CBA0-49D6-92F8-BEF9D7820FCF}" srcOrd="6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740BF90-BD40-45A1-A21C-0A88BA17E580}">
      <dsp:nvSpPr>
        <dsp:cNvPr id="0" name=""/>
        <dsp:cNvSpPr/>
      </dsp:nvSpPr>
      <dsp:spPr>
        <a:xfrm>
          <a:off x="2157" y="2915"/>
          <a:ext cx="2164267" cy="865707"/>
        </a:xfrm>
        <a:prstGeom prst="homePlate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b="1" kern="1200">
              <a:solidFill>
                <a:srgbClr val="FFC000"/>
              </a:solidFill>
            </a:rPr>
            <a:t>Introdução</a:t>
          </a:r>
        </a:p>
      </dsp:txBody>
      <dsp:txXfrm>
        <a:off x="2157" y="2915"/>
        <a:ext cx="1947840" cy="865707"/>
      </dsp:txXfrm>
    </dsp:sp>
    <dsp:sp modelId="{FAB58EF1-379C-43D5-8F43-2FFDD6212DA3}">
      <dsp:nvSpPr>
        <dsp:cNvPr id="0" name=""/>
        <dsp:cNvSpPr/>
      </dsp:nvSpPr>
      <dsp:spPr>
        <a:xfrm>
          <a:off x="1733571" y="2915"/>
          <a:ext cx="2164267" cy="865707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Critério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Localização</a:t>
          </a:r>
        </a:p>
      </dsp:txBody>
      <dsp:txXfrm>
        <a:off x="2166425" y="2915"/>
        <a:ext cx="1298560" cy="865707"/>
      </dsp:txXfrm>
    </dsp:sp>
    <dsp:sp modelId="{A7D0AA70-10F1-4647-A166-B67CA893740C}">
      <dsp:nvSpPr>
        <dsp:cNvPr id="0" name=""/>
        <dsp:cNvSpPr/>
      </dsp:nvSpPr>
      <dsp:spPr>
        <a:xfrm>
          <a:off x="3464985" y="2915"/>
          <a:ext cx="2164267" cy="865707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Critério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Áreas</a:t>
          </a:r>
        </a:p>
      </dsp:txBody>
      <dsp:txXfrm>
        <a:off x="3897839" y="2915"/>
        <a:ext cx="1298560" cy="865707"/>
      </dsp:txXfrm>
    </dsp:sp>
    <dsp:sp modelId="{95DA8AF6-CBA0-49D6-92F8-BEF9D7820FCF}">
      <dsp:nvSpPr>
        <dsp:cNvPr id="0" name=""/>
        <dsp:cNvSpPr/>
      </dsp:nvSpPr>
      <dsp:spPr>
        <a:xfrm>
          <a:off x="5198557" y="5831"/>
          <a:ext cx="2164267" cy="865707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Calculo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Taxas</a:t>
          </a:r>
        </a:p>
      </dsp:txBody>
      <dsp:txXfrm>
        <a:off x="5631411" y="5831"/>
        <a:ext cx="1298560" cy="865707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740BF90-BD40-45A1-A21C-0A88BA17E580}">
      <dsp:nvSpPr>
        <dsp:cNvPr id="0" name=""/>
        <dsp:cNvSpPr/>
      </dsp:nvSpPr>
      <dsp:spPr>
        <a:xfrm>
          <a:off x="2190" y="0"/>
          <a:ext cx="2197865" cy="871539"/>
        </a:xfrm>
        <a:prstGeom prst="homePlate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b="0" kern="1200">
              <a:solidFill>
                <a:schemeClr val="bg1"/>
              </a:solidFill>
            </a:rPr>
            <a:t>Introdução</a:t>
          </a:r>
        </a:p>
      </dsp:txBody>
      <dsp:txXfrm>
        <a:off x="2190" y="0"/>
        <a:ext cx="1979980" cy="871539"/>
      </dsp:txXfrm>
    </dsp:sp>
    <dsp:sp modelId="{FAB58EF1-379C-43D5-8F43-2FFDD6212DA3}">
      <dsp:nvSpPr>
        <dsp:cNvPr id="0" name=""/>
        <dsp:cNvSpPr/>
      </dsp:nvSpPr>
      <dsp:spPr>
        <a:xfrm>
          <a:off x="1760483" y="0"/>
          <a:ext cx="2197865" cy="871539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b="1" kern="1200">
              <a:solidFill>
                <a:srgbClr val="FFC000"/>
              </a:solidFill>
            </a:rPr>
            <a:t>Critério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b="1" kern="1200">
              <a:solidFill>
                <a:srgbClr val="FFC000"/>
              </a:solidFill>
            </a:rPr>
            <a:t>Localização</a:t>
          </a:r>
        </a:p>
      </dsp:txBody>
      <dsp:txXfrm>
        <a:off x="2196253" y="0"/>
        <a:ext cx="1326326" cy="871539"/>
      </dsp:txXfrm>
    </dsp:sp>
    <dsp:sp modelId="{A7D0AA70-10F1-4647-A166-B67CA893740C}">
      <dsp:nvSpPr>
        <dsp:cNvPr id="0" name=""/>
        <dsp:cNvSpPr/>
      </dsp:nvSpPr>
      <dsp:spPr>
        <a:xfrm>
          <a:off x="3518775" y="0"/>
          <a:ext cx="2197865" cy="871539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Critério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Áreas</a:t>
          </a:r>
        </a:p>
      </dsp:txBody>
      <dsp:txXfrm>
        <a:off x="3954545" y="0"/>
        <a:ext cx="1326326" cy="871539"/>
      </dsp:txXfrm>
    </dsp:sp>
    <dsp:sp modelId="{95DA8AF6-CBA0-49D6-92F8-BEF9D7820FCF}">
      <dsp:nvSpPr>
        <dsp:cNvPr id="0" name=""/>
        <dsp:cNvSpPr/>
      </dsp:nvSpPr>
      <dsp:spPr>
        <a:xfrm>
          <a:off x="5279258" y="0"/>
          <a:ext cx="2197865" cy="871539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Calculo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Taxas</a:t>
          </a:r>
        </a:p>
      </dsp:txBody>
      <dsp:txXfrm>
        <a:off x="5715028" y="0"/>
        <a:ext cx="1326326" cy="871539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740BF90-BD40-45A1-A21C-0A88BA17E580}">
      <dsp:nvSpPr>
        <dsp:cNvPr id="0" name=""/>
        <dsp:cNvSpPr/>
      </dsp:nvSpPr>
      <dsp:spPr>
        <a:xfrm>
          <a:off x="2157" y="2915"/>
          <a:ext cx="2164267" cy="865707"/>
        </a:xfrm>
        <a:prstGeom prst="homePlate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b="0" kern="1200">
              <a:solidFill>
                <a:schemeClr val="bg1"/>
              </a:solidFill>
            </a:rPr>
            <a:t>Introdução</a:t>
          </a:r>
        </a:p>
      </dsp:txBody>
      <dsp:txXfrm>
        <a:off x="2157" y="2915"/>
        <a:ext cx="1947840" cy="865707"/>
      </dsp:txXfrm>
    </dsp:sp>
    <dsp:sp modelId="{FAB58EF1-379C-43D5-8F43-2FFDD6212DA3}">
      <dsp:nvSpPr>
        <dsp:cNvPr id="0" name=""/>
        <dsp:cNvSpPr/>
      </dsp:nvSpPr>
      <dsp:spPr>
        <a:xfrm>
          <a:off x="1733571" y="2915"/>
          <a:ext cx="2164267" cy="865707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b="0" kern="1200">
              <a:solidFill>
                <a:schemeClr val="bg1"/>
              </a:solidFill>
            </a:rPr>
            <a:t>Critério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b="0" kern="1200">
              <a:solidFill>
                <a:schemeClr val="bg1"/>
              </a:solidFill>
            </a:rPr>
            <a:t>Localização</a:t>
          </a:r>
        </a:p>
      </dsp:txBody>
      <dsp:txXfrm>
        <a:off x="2166425" y="2915"/>
        <a:ext cx="1298560" cy="865707"/>
      </dsp:txXfrm>
    </dsp:sp>
    <dsp:sp modelId="{A7D0AA70-10F1-4647-A166-B67CA893740C}">
      <dsp:nvSpPr>
        <dsp:cNvPr id="0" name=""/>
        <dsp:cNvSpPr/>
      </dsp:nvSpPr>
      <dsp:spPr>
        <a:xfrm>
          <a:off x="3464985" y="2915"/>
          <a:ext cx="2164267" cy="865707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b="1" kern="1200">
              <a:solidFill>
                <a:srgbClr val="FFC000"/>
              </a:solidFill>
            </a:rPr>
            <a:t>Critério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b="1" kern="1200">
              <a:solidFill>
                <a:srgbClr val="FFC000"/>
              </a:solidFill>
            </a:rPr>
            <a:t>Áreas</a:t>
          </a:r>
        </a:p>
      </dsp:txBody>
      <dsp:txXfrm>
        <a:off x="3897839" y="2915"/>
        <a:ext cx="1298560" cy="865707"/>
      </dsp:txXfrm>
    </dsp:sp>
    <dsp:sp modelId="{95DA8AF6-CBA0-49D6-92F8-BEF9D7820FCF}">
      <dsp:nvSpPr>
        <dsp:cNvPr id="0" name=""/>
        <dsp:cNvSpPr/>
      </dsp:nvSpPr>
      <dsp:spPr>
        <a:xfrm>
          <a:off x="5198557" y="5831"/>
          <a:ext cx="2164267" cy="865707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Calculo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Taxas</a:t>
          </a:r>
        </a:p>
      </dsp:txBody>
      <dsp:txXfrm>
        <a:off x="5631411" y="5831"/>
        <a:ext cx="1298560" cy="865707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740BF90-BD40-45A1-A21C-0A88BA17E580}">
      <dsp:nvSpPr>
        <dsp:cNvPr id="0" name=""/>
        <dsp:cNvSpPr/>
      </dsp:nvSpPr>
      <dsp:spPr>
        <a:xfrm>
          <a:off x="2344" y="0"/>
          <a:ext cx="2351856" cy="871539"/>
        </a:xfrm>
        <a:prstGeom prst="homePlate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7348" tIns="58674" rIns="29337" bIns="58674" numCol="1" spcCol="1270" anchor="ctr" anchorCtr="0">
          <a:noAutofit/>
        </a:bodyPr>
        <a:lstStyle/>
        <a:p>
          <a:pPr lvl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200" b="0" kern="1200">
              <a:solidFill>
                <a:schemeClr val="bg1"/>
              </a:solidFill>
            </a:rPr>
            <a:t>Introdução</a:t>
          </a:r>
        </a:p>
      </dsp:txBody>
      <dsp:txXfrm>
        <a:off x="2344" y="0"/>
        <a:ext cx="2133971" cy="871539"/>
      </dsp:txXfrm>
    </dsp:sp>
    <dsp:sp modelId="{FAB58EF1-379C-43D5-8F43-2FFDD6212DA3}">
      <dsp:nvSpPr>
        <dsp:cNvPr id="0" name=""/>
        <dsp:cNvSpPr/>
      </dsp:nvSpPr>
      <dsp:spPr>
        <a:xfrm>
          <a:off x="1883829" y="0"/>
          <a:ext cx="2351856" cy="871539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011" tIns="58674" rIns="29337" bIns="58674" numCol="1" spcCol="1270" anchor="ctr" anchorCtr="0">
          <a:noAutofit/>
        </a:bodyPr>
        <a:lstStyle/>
        <a:p>
          <a:pPr lvl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200" b="0" kern="1200">
              <a:solidFill>
                <a:schemeClr val="bg1"/>
              </a:solidFill>
            </a:rPr>
            <a:t>Critério</a:t>
          </a:r>
        </a:p>
        <a:p>
          <a:pPr lvl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200" b="0" kern="1200">
              <a:solidFill>
                <a:schemeClr val="bg1"/>
              </a:solidFill>
            </a:rPr>
            <a:t>Localização</a:t>
          </a:r>
        </a:p>
      </dsp:txBody>
      <dsp:txXfrm>
        <a:off x="2319599" y="0"/>
        <a:ext cx="1480317" cy="871539"/>
      </dsp:txXfrm>
    </dsp:sp>
    <dsp:sp modelId="{A7D0AA70-10F1-4647-A166-B67CA893740C}">
      <dsp:nvSpPr>
        <dsp:cNvPr id="0" name=""/>
        <dsp:cNvSpPr/>
      </dsp:nvSpPr>
      <dsp:spPr>
        <a:xfrm>
          <a:off x="3765314" y="0"/>
          <a:ext cx="2351856" cy="871539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011" tIns="58674" rIns="29337" bIns="58674" numCol="1" spcCol="1270" anchor="ctr" anchorCtr="0">
          <a:noAutofit/>
        </a:bodyPr>
        <a:lstStyle/>
        <a:p>
          <a:pPr lvl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200" b="0" kern="1200">
              <a:solidFill>
                <a:schemeClr val="bg1"/>
              </a:solidFill>
            </a:rPr>
            <a:t>Critério</a:t>
          </a:r>
        </a:p>
        <a:p>
          <a:pPr lvl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200" b="0" kern="1200">
              <a:solidFill>
                <a:schemeClr val="bg1"/>
              </a:solidFill>
            </a:rPr>
            <a:t>Áreas</a:t>
          </a:r>
        </a:p>
      </dsp:txBody>
      <dsp:txXfrm>
        <a:off x="4201084" y="0"/>
        <a:ext cx="1480317" cy="871539"/>
      </dsp:txXfrm>
    </dsp:sp>
    <dsp:sp modelId="{95DA8AF6-CBA0-49D6-92F8-BEF9D7820FCF}">
      <dsp:nvSpPr>
        <dsp:cNvPr id="0" name=""/>
        <dsp:cNvSpPr/>
      </dsp:nvSpPr>
      <dsp:spPr>
        <a:xfrm>
          <a:off x="5649143" y="0"/>
          <a:ext cx="2351856" cy="871539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011" tIns="58674" rIns="29337" bIns="58674" numCol="1" spcCol="1270" anchor="ctr" anchorCtr="0">
          <a:noAutofit/>
        </a:bodyPr>
        <a:lstStyle/>
        <a:p>
          <a:pPr lvl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200" b="1" kern="1200">
              <a:solidFill>
                <a:srgbClr val="FFC000"/>
              </a:solidFill>
            </a:rPr>
            <a:t>Calculo</a:t>
          </a:r>
        </a:p>
        <a:p>
          <a:pPr lvl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200" b="1" kern="1200">
              <a:solidFill>
                <a:srgbClr val="FFC000"/>
              </a:solidFill>
            </a:rPr>
            <a:t>Taxas</a:t>
          </a:r>
        </a:p>
      </dsp:txBody>
      <dsp:txXfrm>
        <a:off x="6084913" y="0"/>
        <a:ext cx="1480317" cy="87153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12</xdr:col>
      <xdr:colOff>123825</xdr:colOff>
      <xdr:row>4</xdr:row>
      <xdr:rowOff>185739</xdr:rowOff>
    </xdr:to>
    <xdr:graphicFrame macro="">
      <xdr:nvGraphicFramePr>
        <xdr:cNvPr id="6" name="Diagrama 5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76200</xdr:rowOff>
    </xdr:from>
    <xdr:to>
      <xdr:col>11</xdr:col>
      <xdr:colOff>142875</xdr:colOff>
      <xdr:row>4</xdr:row>
      <xdr:rowOff>185739</xdr:rowOff>
    </xdr:to>
    <xdr:graphicFrame macro="">
      <xdr:nvGraphicFramePr>
        <xdr:cNvPr id="3" name="Diagrama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16</xdr:col>
      <xdr:colOff>504825</xdr:colOff>
      <xdr:row>4</xdr:row>
      <xdr:rowOff>185739</xdr:rowOff>
    </xdr:to>
    <xdr:graphicFrame macro="">
      <xdr:nvGraphicFramePr>
        <xdr:cNvPr id="5" name="Diagrama 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8</xdr:col>
      <xdr:colOff>514350</xdr:colOff>
      <xdr:row>4</xdr:row>
      <xdr:rowOff>185739</xdr:rowOff>
    </xdr:to>
    <xdr:graphicFrame macro="">
      <xdr:nvGraphicFramePr>
        <xdr:cNvPr id="4" name="Diagrama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m-viana-castelo.pt/index.php?option=com_docman&amp;task=doc_download&amp;gid=3098&amp;Itemid=643" TargetMode="External"/><Relationship Id="rId1" Type="http://schemas.openxmlformats.org/officeDocument/2006/relationships/hyperlink" Target="http://www.cm-viana-castelo.pt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m-viana-castelo.pt/index.php?option=com_docman&amp;task=doc_download&amp;gid=3098&amp;Itemid=643" TargetMode="External"/><Relationship Id="rId1" Type="http://schemas.openxmlformats.org/officeDocument/2006/relationships/hyperlink" Target="http://www.cm-viana-castelo.pt/index.php?option=com_docman&amp;task=doc_download&amp;gid=3098&amp;Itemid=643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B14:K16"/>
  <sheetViews>
    <sheetView showGridLines="0" tabSelected="1" zoomScaleNormal="100" workbookViewId="0">
      <pane ySplit="5" topLeftCell="A6" activePane="bottomLeft" state="frozen"/>
      <selection pane="bottomLeft" activeCell="B14" sqref="B14:K14"/>
    </sheetView>
  </sheetViews>
  <sheetFormatPr defaultRowHeight="15" x14ac:dyDescent="0.25"/>
  <sheetData>
    <row r="14" spans="2:11" ht="236.25" customHeight="1" x14ac:dyDescent="0.25">
      <c r="B14" s="112" t="s">
        <v>151</v>
      </c>
      <c r="C14" s="112"/>
      <c r="D14" s="112"/>
      <c r="E14" s="112"/>
      <c r="F14" s="112"/>
      <c r="G14" s="112"/>
      <c r="H14" s="112"/>
      <c r="I14" s="112"/>
      <c r="J14" s="112"/>
      <c r="K14" s="112"/>
    </row>
    <row r="16" spans="2:11" x14ac:dyDescent="0.25">
      <c r="B16" s="113" t="s">
        <v>152</v>
      </c>
      <c r="C16" s="113"/>
      <c r="D16" s="113"/>
      <c r="E16" s="113"/>
      <c r="F16" s="113"/>
      <c r="G16" s="113"/>
      <c r="H16" s="113"/>
      <c r="I16" s="113"/>
      <c r="J16" s="113"/>
      <c r="K16" s="113"/>
    </row>
  </sheetData>
  <sheetProtection algorithmName="SHA-512" hashValue="QFP6hBCfjlPlLShzovZUuDt/3zGbdfqFEPjjLlvY27dlDffZ/QVEZLByM9tmBcVC92KegQWqkRUc+nw+i0q7Tw==" saltValue="/53O91XpIO92kuiOfJ1OuA==" spinCount="100000" sheet="1" objects="1" scenarios="1"/>
  <mergeCells count="2">
    <mergeCell ref="B14:K14"/>
    <mergeCell ref="B16:K16"/>
  </mergeCells>
  <hyperlinks>
    <hyperlink ref="B16" r:id="rId1" display="www.cm-viana-castelo.pt"/>
    <hyperlink ref="B16:K16" r:id="rId2" display="http://www.cm-viana-castelo.pt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7:Z269"/>
  <sheetViews>
    <sheetView zoomScaleNormal="100" zoomScaleSheetLayoutView="85" workbookViewId="0">
      <pane ySplit="5" topLeftCell="A15" activePane="bottomLeft" state="frozen"/>
      <selection activeCell="C39" sqref="C39:H40"/>
      <selection pane="bottomLeft" activeCell="D15" sqref="D15:G15"/>
    </sheetView>
  </sheetViews>
  <sheetFormatPr defaultRowHeight="15" x14ac:dyDescent="0.25"/>
  <cols>
    <col min="1" max="1" width="4.42578125" customWidth="1"/>
    <col min="5" max="5" width="20.42578125" customWidth="1"/>
    <col min="6" max="6" width="9.7109375" customWidth="1"/>
    <col min="8" max="8" width="10" customWidth="1"/>
    <col min="9" max="10" width="12.7109375" customWidth="1"/>
    <col min="11" max="12" width="4.5703125" customWidth="1"/>
    <col min="13" max="13" width="12" hidden="1" customWidth="1"/>
    <col min="14" max="14" width="9.140625" hidden="1" customWidth="1"/>
    <col min="15" max="15" width="12.42578125" hidden="1" customWidth="1"/>
    <col min="16" max="16" width="9.140625" hidden="1" customWidth="1"/>
    <col min="17" max="17" width="12.42578125" hidden="1" customWidth="1"/>
    <col min="18" max="18" width="10" hidden="1" customWidth="1"/>
    <col min="19" max="19" width="27.7109375" hidden="1" customWidth="1"/>
    <col min="20" max="20" width="5.7109375" hidden="1" customWidth="1"/>
    <col min="21" max="25" width="9.140625" hidden="1" customWidth="1"/>
    <col min="26" max="40" width="9.140625" customWidth="1"/>
  </cols>
  <sheetData>
    <row r="7" spans="1:24" ht="15.75" x14ac:dyDescent="0.25">
      <c r="A7" s="117" t="s">
        <v>98</v>
      </c>
      <c r="B7" s="118"/>
      <c r="C7" s="118"/>
      <c r="D7" s="118"/>
      <c r="E7" s="118"/>
      <c r="F7" s="118"/>
      <c r="G7" s="118"/>
      <c r="H7" s="118"/>
      <c r="I7" s="118"/>
      <c r="J7" s="118"/>
      <c r="K7" s="119"/>
      <c r="L7" s="104"/>
    </row>
    <row r="8" spans="1:24" ht="15.75" x14ac:dyDescent="0.25">
      <c r="A8" s="57"/>
      <c r="B8" s="58"/>
      <c r="C8" s="58"/>
      <c r="D8" s="58"/>
      <c r="E8" s="58"/>
      <c r="F8" s="58"/>
      <c r="G8" s="58"/>
      <c r="H8" s="58"/>
      <c r="I8" s="58"/>
      <c r="J8" s="58"/>
      <c r="K8" s="59"/>
      <c r="L8" s="58"/>
    </row>
    <row r="9" spans="1:24" ht="15.75" x14ac:dyDescent="0.25">
      <c r="A9" s="120" t="s">
        <v>99</v>
      </c>
      <c r="B9" s="121"/>
      <c r="C9" s="121"/>
      <c r="D9" s="121"/>
      <c r="E9" s="121"/>
      <c r="F9" s="121"/>
      <c r="G9" s="121"/>
      <c r="H9" s="121"/>
      <c r="I9" s="121"/>
      <c r="J9" s="121"/>
      <c r="K9" s="122"/>
      <c r="L9" s="102"/>
    </row>
    <row r="10" spans="1:24" ht="15.75" x14ac:dyDescent="0.25">
      <c r="A10" s="120"/>
      <c r="B10" s="121"/>
      <c r="C10" s="121"/>
      <c r="D10" s="121"/>
      <c r="E10" s="121"/>
      <c r="F10" s="121"/>
      <c r="G10" s="121"/>
      <c r="H10" s="121"/>
      <c r="I10" s="121"/>
      <c r="J10" s="121"/>
      <c r="K10" s="122"/>
      <c r="L10" s="102"/>
    </row>
    <row r="11" spans="1:24" ht="15.75" x14ac:dyDescent="0.25">
      <c r="A11" s="5"/>
      <c r="B11" s="15"/>
      <c r="C11" s="15"/>
      <c r="D11" s="15"/>
      <c r="E11" s="15"/>
      <c r="F11" s="15"/>
      <c r="G11" s="15"/>
      <c r="H11" s="15"/>
      <c r="I11" s="15"/>
      <c r="J11" s="60"/>
      <c r="K11" s="6"/>
      <c r="L11" s="15"/>
      <c r="M11" s="19" t="s">
        <v>107</v>
      </c>
      <c r="N11" s="18"/>
      <c r="P11" s="17" t="s">
        <v>103</v>
      </c>
      <c r="Q11" s="18"/>
      <c r="S11" s="114" t="s">
        <v>104</v>
      </c>
      <c r="T11" s="115"/>
      <c r="U11" s="116"/>
    </row>
    <row r="12" spans="1:24" ht="15.75" x14ac:dyDescent="0.25">
      <c r="A12" s="5"/>
      <c r="B12" s="126" t="s">
        <v>100</v>
      </c>
      <c r="C12" s="126"/>
      <c r="D12" s="126"/>
      <c r="E12" s="126"/>
      <c r="F12" s="126"/>
      <c r="G12" s="126"/>
      <c r="H12" s="126"/>
      <c r="I12" s="126"/>
      <c r="J12" s="126"/>
      <c r="K12" s="127"/>
      <c r="L12" s="103"/>
      <c r="M12" s="26">
        <v>1</v>
      </c>
      <c r="N12" s="9">
        <v>1.0999999999999999E-2</v>
      </c>
      <c r="P12" s="5" t="s">
        <v>3</v>
      </c>
      <c r="Q12" s="6"/>
      <c r="S12" s="22" t="s">
        <v>102</v>
      </c>
      <c r="T12" s="21"/>
      <c r="U12" s="20"/>
      <c r="X12" s="93" t="s">
        <v>102</v>
      </c>
    </row>
    <row r="13" spans="1:24" x14ac:dyDescent="0.25">
      <c r="A13" s="5"/>
      <c r="B13" s="15"/>
      <c r="C13" s="15"/>
      <c r="D13" s="15"/>
      <c r="E13" s="15"/>
      <c r="F13" s="15"/>
      <c r="G13" s="15"/>
      <c r="H13" s="15"/>
      <c r="I13" s="15"/>
      <c r="J13" s="61"/>
      <c r="K13" s="6"/>
      <c r="L13" s="15"/>
      <c r="M13" s="15">
        <v>2</v>
      </c>
      <c r="N13" s="10">
        <v>0.02</v>
      </c>
      <c r="P13" s="5" t="s">
        <v>4</v>
      </c>
      <c r="Q13" s="6"/>
      <c r="S13" s="5" t="s">
        <v>24</v>
      </c>
      <c r="T13" s="15">
        <v>1</v>
      </c>
      <c r="U13" s="6">
        <v>1.8</v>
      </c>
      <c r="X13">
        <v>30</v>
      </c>
    </row>
    <row r="14" spans="1:24" x14ac:dyDescent="0.25">
      <c r="A14" s="5"/>
      <c r="B14" s="15"/>
      <c r="C14" s="15"/>
      <c r="D14" s="15"/>
      <c r="E14" s="15"/>
      <c r="F14" s="15"/>
      <c r="G14" s="15"/>
      <c r="H14" s="15"/>
      <c r="I14" s="15"/>
      <c r="J14" s="15"/>
      <c r="K14" s="6"/>
      <c r="L14" s="15"/>
      <c r="M14" s="15">
        <v>3</v>
      </c>
      <c r="N14" s="10">
        <v>0.02</v>
      </c>
      <c r="P14" s="7" t="s">
        <v>102</v>
      </c>
      <c r="Q14" s="8"/>
      <c r="S14" s="5" t="s">
        <v>25</v>
      </c>
      <c r="T14" s="15">
        <v>3</v>
      </c>
      <c r="U14" s="6">
        <v>0.5</v>
      </c>
      <c r="X14">
        <v>60</v>
      </c>
    </row>
    <row r="15" spans="1:24" x14ac:dyDescent="0.25">
      <c r="A15" s="5"/>
      <c r="B15" s="15"/>
      <c r="C15" s="62" t="s">
        <v>97</v>
      </c>
      <c r="D15" s="123" t="s">
        <v>102</v>
      </c>
      <c r="E15" s="124"/>
      <c r="F15" s="124"/>
      <c r="G15" s="125"/>
      <c r="H15" s="15"/>
      <c r="I15" s="63" t="s">
        <v>0</v>
      </c>
      <c r="J15" s="1">
        <f>VLOOKUP(D15,S12:T51,2)</f>
        <v>0</v>
      </c>
      <c r="K15" s="6"/>
      <c r="L15" s="15"/>
      <c r="M15" s="16">
        <v>4</v>
      </c>
      <c r="N15" s="12">
        <v>1.4999999999999999E-2</v>
      </c>
      <c r="S15" s="5" t="s">
        <v>26</v>
      </c>
      <c r="T15" s="15">
        <v>3</v>
      </c>
      <c r="U15" s="6">
        <v>0.5</v>
      </c>
      <c r="X15">
        <v>90</v>
      </c>
    </row>
    <row r="16" spans="1:24" x14ac:dyDescent="0.25">
      <c r="A16" s="5"/>
      <c r="B16" s="15"/>
      <c r="C16" s="63"/>
      <c r="D16" s="15"/>
      <c r="E16" s="15"/>
      <c r="F16" s="15"/>
      <c r="G16" s="15"/>
      <c r="H16" s="15"/>
      <c r="I16" s="63"/>
      <c r="J16" s="15"/>
      <c r="K16" s="6"/>
      <c r="L16" s="15"/>
      <c r="M16" t="s">
        <v>106</v>
      </c>
      <c r="S16" s="5" t="s">
        <v>27</v>
      </c>
      <c r="T16" s="15">
        <v>1</v>
      </c>
      <c r="U16" s="6">
        <v>1.8</v>
      </c>
      <c r="X16">
        <v>120</v>
      </c>
    </row>
    <row r="17" spans="1:26" x14ac:dyDescent="0.25">
      <c r="A17" s="5"/>
      <c r="B17" s="15"/>
      <c r="C17" s="15"/>
      <c r="D17" s="15"/>
      <c r="E17" s="15"/>
      <c r="F17" s="15"/>
      <c r="G17" s="15"/>
      <c r="H17" s="15"/>
      <c r="I17" s="63" t="s">
        <v>65</v>
      </c>
      <c r="J17" s="2">
        <f>VLOOKUP(D15,S12:U51,3)</f>
        <v>0</v>
      </c>
      <c r="K17" s="6"/>
      <c r="L17" s="15"/>
      <c r="M17" s="26">
        <v>1</v>
      </c>
      <c r="N17" s="13">
        <v>0.2</v>
      </c>
      <c r="S17" s="5" t="s">
        <v>28</v>
      </c>
      <c r="T17" s="15">
        <v>2</v>
      </c>
      <c r="U17" s="6">
        <v>0.9</v>
      </c>
      <c r="X17">
        <v>150</v>
      </c>
    </row>
    <row r="18" spans="1:26" x14ac:dyDescent="0.25">
      <c r="A18" s="5"/>
      <c r="B18" s="15"/>
      <c r="C18" s="15"/>
      <c r="D18" s="15"/>
      <c r="E18" s="15"/>
      <c r="F18" s="15"/>
      <c r="G18" s="15"/>
      <c r="H18" s="15"/>
      <c r="I18" s="15"/>
      <c r="J18" s="15"/>
      <c r="K18" s="6"/>
      <c r="L18" s="15"/>
      <c r="M18" s="15">
        <v>2</v>
      </c>
      <c r="N18" s="14">
        <v>0.3</v>
      </c>
      <c r="S18" s="5" t="s">
        <v>29</v>
      </c>
      <c r="T18" s="15">
        <v>2</v>
      </c>
      <c r="U18" s="6">
        <v>0.9</v>
      </c>
      <c r="X18">
        <v>180</v>
      </c>
    </row>
    <row r="19" spans="1:26" x14ac:dyDescent="0.25">
      <c r="A19" s="5"/>
      <c r="B19" s="15"/>
      <c r="C19" s="15"/>
      <c r="D19" s="15"/>
      <c r="E19" s="15"/>
      <c r="F19" s="15"/>
      <c r="G19" s="15"/>
      <c r="H19" s="15"/>
      <c r="I19" s="63"/>
      <c r="J19" s="15"/>
      <c r="K19" s="6"/>
      <c r="L19" s="15"/>
      <c r="M19" s="15">
        <v>3</v>
      </c>
      <c r="N19" s="14">
        <v>0.4</v>
      </c>
      <c r="S19" s="5" t="s">
        <v>30</v>
      </c>
      <c r="T19" s="15">
        <v>1</v>
      </c>
      <c r="U19" s="6">
        <v>1.8</v>
      </c>
      <c r="X19">
        <v>210</v>
      </c>
    </row>
    <row r="20" spans="1:26" x14ac:dyDescent="0.25">
      <c r="A20" s="5"/>
      <c r="B20" s="64" t="s">
        <v>96</v>
      </c>
      <c r="C20" s="15"/>
      <c r="D20" s="15"/>
      <c r="E20" s="15"/>
      <c r="F20" s="15"/>
      <c r="G20" s="4" t="s">
        <v>4</v>
      </c>
      <c r="H20" s="99" t="s">
        <v>101</v>
      </c>
      <c r="I20" s="101"/>
      <c r="J20" s="71"/>
      <c r="K20" s="6"/>
      <c r="L20" s="15"/>
      <c r="M20" s="15">
        <v>4</v>
      </c>
      <c r="N20" s="14">
        <v>0.5</v>
      </c>
      <c r="S20" s="5" t="s">
        <v>31</v>
      </c>
      <c r="T20" s="15">
        <v>3</v>
      </c>
      <c r="U20" s="6">
        <v>0.5</v>
      </c>
      <c r="X20">
        <v>240</v>
      </c>
    </row>
    <row r="21" spans="1:26" x14ac:dyDescent="0.25">
      <c r="A21" s="65"/>
      <c r="B21" s="64"/>
      <c r="C21" s="15"/>
      <c r="D21" s="15"/>
      <c r="E21" s="15"/>
      <c r="F21" s="15"/>
      <c r="G21" s="15"/>
      <c r="H21" s="15"/>
      <c r="I21" s="63"/>
      <c r="J21" s="15"/>
      <c r="K21" s="6"/>
      <c r="L21" s="15"/>
      <c r="M21" s="15">
        <v>5</v>
      </c>
      <c r="N21" s="14">
        <v>0.8</v>
      </c>
      <c r="S21" s="5" t="s">
        <v>32</v>
      </c>
      <c r="T21" s="15">
        <v>2</v>
      </c>
      <c r="U21" s="6">
        <v>0.9</v>
      </c>
      <c r="X21">
        <v>270</v>
      </c>
    </row>
    <row r="22" spans="1:26" ht="15" customHeight="1" x14ac:dyDescent="0.25">
      <c r="A22" s="65"/>
      <c r="B22" s="64" t="s">
        <v>141</v>
      </c>
      <c r="C22" s="15"/>
      <c r="D22" s="15"/>
      <c r="E22" s="15"/>
      <c r="F22" s="15"/>
      <c r="G22" s="4"/>
      <c r="H22" s="15"/>
      <c r="I22" s="63"/>
      <c r="J22" s="15"/>
      <c r="K22" s="6"/>
      <c r="L22" s="15"/>
      <c r="M22" s="56">
        <v>6</v>
      </c>
      <c r="N22" s="23" t="s">
        <v>102</v>
      </c>
      <c r="S22" s="5" t="s">
        <v>33</v>
      </c>
      <c r="T22" s="15">
        <v>2</v>
      </c>
      <c r="U22" s="6">
        <v>0.9</v>
      </c>
      <c r="X22">
        <v>300</v>
      </c>
    </row>
    <row r="23" spans="1:26" x14ac:dyDescent="0.25">
      <c r="A23" s="65"/>
      <c r="B23" s="64"/>
      <c r="C23" s="15"/>
      <c r="D23" s="15"/>
      <c r="E23" s="15"/>
      <c r="F23" s="15"/>
      <c r="G23" s="15"/>
      <c r="H23" s="15"/>
      <c r="I23" s="63"/>
      <c r="J23" s="15"/>
      <c r="K23" s="6"/>
      <c r="L23" s="15"/>
      <c r="S23" s="5" t="s">
        <v>34</v>
      </c>
      <c r="T23" s="15">
        <v>1</v>
      </c>
      <c r="U23" s="6">
        <v>1.8</v>
      </c>
      <c r="X23">
        <v>330</v>
      </c>
    </row>
    <row r="24" spans="1:26" x14ac:dyDescent="0.25">
      <c r="A24" s="65">
        <v>4</v>
      </c>
      <c r="B24" s="64" t="s">
        <v>2</v>
      </c>
      <c r="C24" s="15"/>
      <c r="D24" s="15"/>
      <c r="E24" s="15"/>
      <c r="F24" s="15"/>
      <c r="G24" s="15"/>
      <c r="H24" s="15"/>
      <c r="I24" s="63"/>
      <c r="J24" s="15"/>
      <c r="K24" s="6"/>
      <c r="L24" s="15"/>
      <c r="S24" s="5" t="s">
        <v>35</v>
      </c>
      <c r="T24" s="15">
        <v>3</v>
      </c>
      <c r="U24" s="6">
        <v>0.5</v>
      </c>
      <c r="X24">
        <v>360</v>
      </c>
    </row>
    <row r="25" spans="1:26" ht="15" customHeight="1" x14ac:dyDescent="0.25">
      <c r="A25" s="5"/>
      <c r="B25" s="15"/>
      <c r="C25" s="15"/>
      <c r="D25" s="15"/>
      <c r="E25" s="15"/>
      <c r="F25" s="15"/>
      <c r="G25" s="15"/>
      <c r="H25" s="15"/>
      <c r="I25" s="15"/>
      <c r="J25" s="15"/>
      <c r="K25" s="6"/>
      <c r="L25" s="15"/>
      <c r="M25" t="s">
        <v>105</v>
      </c>
      <c r="S25" s="5" t="s">
        <v>36</v>
      </c>
      <c r="T25" s="15">
        <v>3</v>
      </c>
      <c r="U25" s="6">
        <v>0.5</v>
      </c>
      <c r="X25">
        <v>390</v>
      </c>
    </row>
    <row r="26" spans="1:26" x14ac:dyDescent="0.25">
      <c r="A26" s="5"/>
      <c r="B26" s="15"/>
      <c r="C26" s="15" t="s">
        <v>5</v>
      </c>
      <c r="D26" s="15"/>
      <c r="E26" s="15"/>
      <c r="F26" s="15"/>
      <c r="G26" s="4" t="s">
        <v>102</v>
      </c>
      <c r="H26" s="15"/>
      <c r="I26" s="15"/>
      <c r="J26" s="15"/>
      <c r="K26" s="6"/>
      <c r="L26" s="5"/>
      <c r="M26" s="26">
        <f>IF(G26="S",0.2,0)</f>
        <v>0</v>
      </c>
      <c r="N26" s="15"/>
      <c r="O26" s="15"/>
      <c r="P26" s="15"/>
      <c r="Q26" s="15"/>
      <c r="R26" s="15"/>
      <c r="S26" s="15" t="s">
        <v>37</v>
      </c>
      <c r="T26" s="15">
        <v>3</v>
      </c>
      <c r="U26" s="15">
        <v>0.5</v>
      </c>
      <c r="V26" s="15"/>
      <c r="W26" s="15"/>
      <c r="X26" s="15">
        <v>420</v>
      </c>
      <c r="Y26" s="15"/>
      <c r="Z26" s="15"/>
    </row>
    <row r="27" spans="1:26" x14ac:dyDescent="0.25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6"/>
      <c r="L27" s="5"/>
      <c r="M27" s="15"/>
      <c r="N27" s="15"/>
      <c r="O27" s="15"/>
      <c r="P27" s="15"/>
      <c r="Q27" s="15"/>
      <c r="R27" s="15"/>
      <c r="S27" s="15" t="s">
        <v>38</v>
      </c>
      <c r="T27" s="15">
        <v>2</v>
      </c>
      <c r="U27" s="15">
        <v>0.9</v>
      </c>
      <c r="V27" s="15"/>
      <c r="W27" s="15"/>
      <c r="X27" s="15">
        <v>450</v>
      </c>
      <c r="Y27" s="15"/>
      <c r="Z27" s="15"/>
    </row>
    <row r="28" spans="1:26" x14ac:dyDescent="0.25">
      <c r="A28" s="5"/>
      <c r="B28" s="15"/>
      <c r="C28" s="15" t="s">
        <v>6</v>
      </c>
      <c r="D28" s="15"/>
      <c r="E28" s="15"/>
      <c r="F28" s="15"/>
      <c r="G28" s="4" t="s">
        <v>102</v>
      </c>
      <c r="H28" s="15"/>
      <c r="I28" s="15"/>
      <c r="J28" s="15"/>
      <c r="K28" s="6"/>
      <c r="L28" s="5"/>
      <c r="M28" s="15">
        <f>IF(G28="S",0.1,0)</f>
        <v>0</v>
      </c>
      <c r="N28" s="15"/>
      <c r="O28" s="15"/>
      <c r="P28" s="15"/>
      <c r="Q28" s="15"/>
      <c r="R28" s="15"/>
      <c r="S28" s="15" t="s">
        <v>39</v>
      </c>
      <c r="T28" s="15">
        <v>2</v>
      </c>
      <c r="U28" s="15">
        <v>0.9</v>
      </c>
      <c r="V28" s="15"/>
      <c r="W28" s="15"/>
      <c r="X28" s="15">
        <v>480</v>
      </c>
      <c r="Y28" s="15"/>
      <c r="Z28" s="15"/>
    </row>
    <row r="29" spans="1:26" ht="15" customHeight="1" x14ac:dyDescent="0.25">
      <c r="A29" s="5"/>
      <c r="B29" s="15"/>
      <c r="C29" s="15"/>
      <c r="D29" s="15"/>
      <c r="E29" s="15"/>
      <c r="F29" s="15"/>
      <c r="G29" s="15"/>
      <c r="H29" s="15"/>
      <c r="I29" s="15"/>
      <c r="J29" s="15"/>
      <c r="K29" s="6"/>
      <c r="L29" s="5"/>
      <c r="M29" s="15"/>
      <c r="N29" s="15"/>
      <c r="O29" s="15"/>
      <c r="P29" s="15"/>
      <c r="Q29" s="15"/>
      <c r="R29" s="15"/>
      <c r="S29" s="15" t="s">
        <v>40</v>
      </c>
      <c r="T29" s="15">
        <v>1</v>
      </c>
      <c r="U29" s="15">
        <v>1.8</v>
      </c>
      <c r="V29" s="15"/>
      <c r="W29" s="15"/>
      <c r="X29" s="15">
        <v>510</v>
      </c>
      <c r="Y29" s="15"/>
      <c r="Z29" s="15"/>
    </row>
    <row r="30" spans="1:26" x14ac:dyDescent="0.25">
      <c r="A30" s="5"/>
      <c r="B30" s="15"/>
      <c r="C30" s="15" t="s">
        <v>8</v>
      </c>
      <c r="D30" s="15"/>
      <c r="E30" s="15"/>
      <c r="F30" s="15"/>
      <c r="G30" s="4" t="s">
        <v>102</v>
      </c>
      <c r="H30" s="15"/>
      <c r="I30" s="15"/>
      <c r="J30" s="15"/>
      <c r="K30" s="6"/>
      <c r="L30" s="5"/>
      <c r="M30" s="15">
        <f>IF(G30="S",0.08,0)</f>
        <v>0</v>
      </c>
      <c r="N30" s="15"/>
      <c r="O30" s="15"/>
      <c r="P30" s="15"/>
      <c r="Q30" s="15"/>
      <c r="R30" s="15"/>
      <c r="S30" s="15" t="s">
        <v>41</v>
      </c>
      <c r="T30" s="15">
        <v>3</v>
      </c>
      <c r="U30" s="15">
        <v>0.5</v>
      </c>
      <c r="V30" s="15"/>
      <c r="W30" s="15"/>
      <c r="X30" s="15">
        <v>540</v>
      </c>
      <c r="Y30" s="15"/>
      <c r="Z30" s="15"/>
    </row>
    <row r="31" spans="1:26" ht="15" customHeight="1" x14ac:dyDescent="0.25">
      <c r="A31" s="5"/>
      <c r="B31" s="15"/>
      <c r="C31" s="15"/>
      <c r="D31" s="15"/>
      <c r="E31" s="15"/>
      <c r="F31" s="15"/>
      <c r="G31" s="15"/>
      <c r="H31" s="15"/>
      <c r="I31" s="15"/>
      <c r="J31" s="15"/>
      <c r="K31" s="6"/>
      <c r="L31" s="5"/>
      <c r="M31" s="15"/>
      <c r="N31" s="15"/>
      <c r="O31" s="15"/>
      <c r="P31" s="15"/>
      <c r="Q31" s="15"/>
      <c r="R31" s="15"/>
      <c r="S31" s="15" t="s">
        <v>42</v>
      </c>
      <c r="T31" s="15">
        <v>1</v>
      </c>
      <c r="U31" s="15">
        <v>1.8</v>
      </c>
      <c r="V31" s="15"/>
      <c r="W31" s="15"/>
      <c r="X31" s="15">
        <v>570</v>
      </c>
      <c r="Y31" s="15"/>
      <c r="Z31" s="15"/>
    </row>
    <row r="32" spans="1:26" x14ac:dyDescent="0.25">
      <c r="A32" s="5"/>
      <c r="B32" s="15"/>
      <c r="C32" s="15" t="s">
        <v>9</v>
      </c>
      <c r="D32" s="15"/>
      <c r="E32" s="15"/>
      <c r="F32" s="15"/>
      <c r="G32" s="4" t="s">
        <v>102</v>
      </c>
      <c r="H32" s="15"/>
      <c r="I32" s="15"/>
      <c r="J32" s="15"/>
      <c r="K32" s="6"/>
      <c r="L32" s="5"/>
      <c r="M32" s="15">
        <f>IF(G32="S",0.08,0)</f>
        <v>0</v>
      </c>
      <c r="N32" s="15"/>
      <c r="O32" s="15"/>
      <c r="P32" s="15"/>
      <c r="Q32" s="15"/>
      <c r="R32" s="15"/>
      <c r="S32" s="15" t="s">
        <v>43</v>
      </c>
      <c r="T32" s="15">
        <v>3</v>
      </c>
      <c r="U32" s="15">
        <v>0.5</v>
      </c>
      <c r="V32" s="15"/>
      <c r="W32" s="15"/>
      <c r="X32" s="15">
        <v>600</v>
      </c>
      <c r="Y32" s="15"/>
      <c r="Z32" s="15"/>
    </row>
    <row r="33" spans="1:26" x14ac:dyDescent="0.25">
      <c r="A33" s="5"/>
      <c r="B33" s="15"/>
      <c r="C33" s="15"/>
      <c r="D33" s="15"/>
      <c r="E33" s="15"/>
      <c r="F33" s="15"/>
      <c r="G33" s="15"/>
      <c r="H33" s="15"/>
      <c r="I33" s="15"/>
      <c r="J33" s="15"/>
      <c r="K33" s="6"/>
      <c r="L33" s="5"/>
      <c r="M33" s="15"/>
      <c r="N33" s="15"/>
      <c r="O33" s="15"/>
      <c r="P33" s="15"/>
      <c r="Q33" s="15"/>
      <c r="R33" s="15"/>
      <c r="S33" s="15" t="s">
        <v>44</v>
      </c>
      <c r="T33" s="15">
        <v>2</v>
      </c>
      <c r="U33" s="15">
        <v>0.9</v>
      </c>
      <c r="V33" s="15"/>
      <c r="W33" s="15"/>
      <c r="X33" s="15">
        <v>630</v>
      </c>
      <c r="Y33" s="15"/>
      <c r="Z33" s="15"/>
    </row>
    <row r="34" spans="1:26" x14ac:dyDescent="0.25">
      <c r="A34" s="5"/>
      <c r="B34" s="15"/>
      <c r="C34" s="15" t="s">
        <v>10</v>
      </c>
      <c r="D34" s="15"/>
      <c r="E34" s="15"/>
      <c r="F34" s="15"/>
      <c r="G34" s="4" t="s">
        <v>102</v>
      </c>
      <c r="H34" s="15"/>
      <c r="I34" s="15"/>
      <c r="J34" s="15"/>
      <c r="K34" s="6"/>
      <c r="L34" s="5"/>
      <c r="M34" s="15">
        <f>IF(G34="S",0.06,0)</f>
        <v>0</v>
      </c>
      <c r="N34" s="15"/>
      <c r="O34" s="15"/>
      <c r="P34" s="15"/>
      <c r="Q34" s="15"/>
      <c r="R34" s="15"/>
      <c r="S34" s="15" t="s">
        <v>45</v>
      </c>
      <c r="T34" s="15">
        <v>3</v>
      </c>
      <c r="U34" s="15">
        <v>0.5</v>
      </c>
      <c r="V34" s="15"/>
      <c r="W34" s="15"/>
      <c r="X34" s="15">
        <v>660</v>
      </c>
      <c r="Y34" s="15"/>
      <c r="Z34" s="15"/>
    </row>
    <row r="35" spans="1:26" x14ac:dyDescent="0.25">
      <c r="A35" s="5"/>
      <c r="B35" s="15"/>
      <c r="C35" s="15"/>
      <c r="D35" s="15"/>
      <c r="E35" s="15"/>
      <c r="F35" s="15"/>
      <c r="G35" s="15"/>
      <c r="H35" s="15"/>
      <c r="I35" s="15"/>
      <c r="J35" s="15"/>
      <c r="K35" s="6"/>
      <c r="L35" s="5"/>
      <c r="M35" s="15"/>
      <c r="N35" s="15"/>
      <c r="O35" s="15"/>
      <c r="P35" s="15"/>
      <c r="Q35" s="15"/>
      <c r="R35" s="15"/>
      <c r="S35" s="15" t="s">
        <v>46</v>
      </c>
      <c r="T35" s="15">
        <v>2</v>
      </c>
      <c r="U35" s="15">
        <v>0.9</v>
      </c>
      <c r="V35" s="15"/>
      <c r="W35" s="15"/>
      <c r="X35" s="15">
        <v>690</v>
      </c>
      <c r="Y35" s="15"/>
      <c r="Z35" s="15"/>
    </row>
    <row r="36" spans="1:26" x14ac:dyDescent="0.25">
      <c r="A36" s="5"/>
      <c r="B36" s="15"/>
      <c r="C36" s="15" t="s">
        <v>11</v>
      </c>
      <c r="D36" s="15"/>
      <c r="E36" s="15"/>
      <c r="F36" s="15"/>
      <c r="G36" s="4" t="s">
        <v>102</v>
      </c>
      <c r="H36" s="15"/>
      <c r="I36" s="15"/>
      <c r="J36" s="15"/>
      <c r="K36" s="6"/>
      <c r="L36" s="5"/>
      <c r="M36" s="15">
        <f>IF(G36="S",0.04,0)</f>
        <v>0</v>
      </c>
      <c r="N36" s="15"/>
      <c r="O36" s="15"/>
      <c r="P36" s="15"/>
      <c r="Q36" s="15"/>
      <c r="R36" s="15"/>
      <c r="S36" s="15" t="s">
        <v>47</v>
      </c>
      <c r="T36" s="15">
        <v>3</v>
      </c>
      <c r="U36" s="15">
        <v>0.5</v>
      </c>
      <c r="V36" s="15"/>
      <c r="W36" s="15"/>
      <c r="X36" s="15">
        <v>720</v>
      </c>
      <c r="Y36" s="15"/>
      <c r="Z36" s="15"/>
    </row>
    <row r="37" spans="1:26" x14ac:dyDescent="0.25">
      <c r="A37" s="5"/>
      <c r="B37" s="15"/>
      <c r="C37" s="15"/>
      <c r="D37" s="15"/>
      <c r="E37" s="15"/>
      <c r="F37" s="15"/>
      <c r="G37" s="15"/>
      <c r="H37" s="15"/>
      <c r="I37" s="15"/>
      <c r="J37" s="15"/>
      <c r="K37" s="6"/>
      <c r="L37" s="5"/>
      <c r="M37" s="15"/>
      <c r="N37" s="15"/>
      <c r="O37" s="15"/>
      <c r="P37" s="15"/>
      <c r="Q37" s="15"/>
      <c r="R37" s="15"/>
      <c r="S37" s="15" t="s">
        <v>48</v>
      </c>
      <c r="T37" s="15">
        <v>3</v>
      </c>
      <c r="U37" s="15">
        <v>0.5</v>
      </c>
      <c r="V37" s="15"/>
      <c r="W37" s="15"/>
      <c r="X37" s="15">
        <v>750</v>
      </c>
      <c r="Y37" s="15"/>
      <c r="Z37" s="15"/>
    </row>
    <row r="38" spans="1:26" x14ac:dyDescent="0.25">
      <c r="A38" s="5"/>
      <c r="B38" s="15"/>
      <c r="C38" s="15" t="s">
        <v>12</v>
      </c>
      <c r="D38" s="15"/>
      <c r="E38" s="15"/>
      <c r="F38" s="15"/>
      <c r="G38" s="4" t="s">
        <v>102</v>
      </c>
      <c r="H38" s="15"/>
      <c r="I38" s="15"/>
      <c r="J38" s="15"/>
      <c r="K38" s="6"/>
      <c r="L38" s="5"/>
      <c r="M38" s="15">
        <f>IF(G38="S",0.04,0)</f>
        <v>0</v>
      </c>
      <c r="N38" s="15"/>
      <c r="O38" s="15"/>
      <c r="P38" s="15"/>
      <c r="Q38" s="15"/>
      <c r="R38" s="15"/>
      <c r="S38" s="15" t="s">
        <v>49</v>
      </c>
      <c r="T38" s="15">
        <v>2</v>
      </c>
      <c r="U38" s="15">
        <v>0.9</v>
      </c>
      <c r="V38" s="15"/>
      <c r="W38" s="15"/>
      <c r="X38" s="15">
        <v>780</v>
      </c>
      <c r="Y38" s="15"/>
      <c r="Z38" s="15"/>
    </row>
    <row r="39" spans="1:26" x14ac:dyDescent="0.25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6"/>
      <c r="L39" s="5"/>
      <c r="M39" s="15"/>
      <c r="N39" s="15"/>
      <c r="O39" s="15"/>
      <c r="P39" s="15"/>
      <c r="Q39" s="15"/>
      <c r="R39" s="15"/>
      <c r="S39" s="15" t="s">
        <v>50</v>
      </c>
      <c r="T39" s="15">
        <v>2</v>
      </c>
      <c r="U39" s="15">
        <v>0.9</v>
      </c>
      <c r="V39" s="15"/>
      <c r="W39" s="15"/>
      <c r="X39" s="15">
        <v>810</v>
      </c>
      <c r="Y39" s="15"/>
      <c r="Z39" s="15"/>
    </row>
    <row r="40" spans="1:26" x14ac:dyDescent="0.25">
      <c r="A40" s="5"/>
      <c r="B40" s="15"/>
      <c r="C40" s="15"/>
      <c r="D40" s="15"/>
      <c r="E40" s="15"/>
      <c r="F40" s="15"/>
      <c r="G40" s="15"/>
      <c r="H40" s="15"/>
      <c r="I40" s="63" t="s">
        <v>7</v>
      </c>
      <c r="J40" s="1">
        <f>+M40</f>
        <v>0.4</v>
      </c>
      <c r="K40" s="6"/>
      <c r="L40" s="5"/>
      <c r="M40" s="16">
        <f>IF(SUM(M26:M38)&gt;0,(0.4+SUM(M26:M38)),0.4)</f>
        <v>0.4</v>
      </c>
      <c r="N40" s="15"/>
      <c r="O40" s="15"/>
      <c r="P40" s="15"/>
      <c r="Q40" s="15"/>
      <c r="R40" s="15"/>
      <c r="S40" s="15" t="s">
        <v>51</v>
      </c>
      <c r="T40" s="15">
        <v>2</v>
      </c>
      <c r="U40" s="15">
        <v>0.9</v>
      </c>
      <c r="V40" s="15"/>
      <c r="W40" s="15"/>
      <c r="X40" s="15">
        <v>840</v>
      </c>
      <c r="Y40" s="15"/>
      <c r="Z40" s="15"/>
    </row>
    <row r="41" spans="1:26" x14ac:dyDescent="0.25">
      <c r="A41" s="5"/>
      <c r="B41" s="15"/>
      <c r="C41" s="15"/>
      <c r="D41" s="15"/>
      <c r="E41" s="15"/>
      <c r="F41" s="15"/>
      <c r="G41" s="15"/>
      <c r="H41" s="15"/>
      <c r="I41" s="15"/>
      <c r="J41" s="15"/>
      <c r="K41" s="6"/>
      <c r="L41" s="15"/>
      <c r="S41" s="5" t="s">
        <v>52</v>
      </c>
      <c r="T41" s="15">
        <v>3</v>
      </c>
      <c r="U41" s="6">
        <v>0.5</v>
      </c>
      <c r="X41">
        <v>870</v>
      </c>
    </row>
    <row r="42" spans="1:26" x14ac:dyDescent="0.25">
      <c r="A42" s="5"/>
      <c r="B42" s="15"/>
      <c r="C42" s="15"/>
      <c r="D42" s="15"/>
      <c r="E42" s="15"/>
      <c r="F42" s="15"/>
      <c r="G42" s="15"/>
      <c r="H42" s="15"/>
      <c r="I42" s="15"/>
      <c r="J42" s="15"/>
      <c r="K42" s="6"/>
      <c r="L42" s="15"/>
      <c r="S42" s="5" t="s">
        <v>53</v>
      </c>
      <c r="T42" s="15">
        <v>1</v>
      </c>
      <c r="U42" s="6">
        <v>1.8</v>
      </c>
      <c r="X42">
        <v>900</v>
      </c>
    </row>
    <row r="43" spans="1:26" x14ac:dyDescent="0.25">
      <c r="A43" s="5"/>
      <c r="B43" s="15"/>
      <c r="C43" s="64" t="s">
        <v>135</v>
      </c>
      <c r="D43" s="15"/>
      <c r="E43" s="15"/>
      <c r="G43" s="4" t="s">
        <v>4</v>
      </c>
      <c r="H43" s="100" t="s">
        <v>140</v>
      </c>
      <c r="I43" s="71"/>
      <c r="J43" s="71"/>
      <c r="K43" s="6"/>
      <c r="L43" s="15"/>
      <c r="S43" s="5" t="s">
        <v>54</v>
      </c>
      <c r="T43" s="15">
        <v>3</v>
      </c>
      <c r="U43" s="6">
        <v>0.5</v>
      </c>
      <c r="X43">
        <v>930</v>
      </c>
    </row>
    <row r="44" spans="1:26" x14ac:dyDescent="0.25">
      <c r="A44" s="5"/>
      <c r="B44" s="15"/>
      <c r="D44" s="15"/>
      <c r="E44" s="15"/>
      <c r="F44" s="15"/>
      <c r="G44" s="15"/>
      <c r="H44" s="15"/>
      <c r="I44" s="15"/>
      <c r="J44" s="15"/>
      <c r="K44" s="6"/>
      <c r="L44" s="15"/>
      <c r="S44" s="5" t="s">
        <v>55</v>
      </c>
      <c r="T44" s="15">
        <v>1</v>
      </c>
      <c r="U44" s="6">
        <v>1.8</v>
      </c>
      <c r="X44">
        <v>960</v>
      </c>
    </row>
    <row r="45" spans="1:26" x14ac:dyDescent="0.25">
      <c r="A45" s="11"/>
      <c r="B45" s="16"/>
      <c r="C45" s="16"/>
      <c r="D45" s="16"/>
      <c r="E45" s="66"/>
      <c r="F45" s="16"/>
      <c r="G45" s="16"/>
      <c r="H45" s="16"/>
      <c r="I45" s="16"/>
      <c r="J45" s="16"/>
      <c r="K45" s="8"/>
      <c r="L45" s="15"/>
      <c r="S45" s="5" t="s">
        <v>56</v>
      </c>
      <c r="T45" s="15">
        <v>2</v>
      </c>
      <c r="U45" s="6">
        <v>0.9</v>
      </c>
      <c r="X45">
        <v>990</v>
      </c>
    </row>
    <row r="46" spans="1:26" x14ac:dyDescent="0.25">
      <c r="S46" s="5" t="s">
        <v>57</v>
      </c>
      <c r="T46" s="15">
        <v>2</v>
      </c>
      <c r="U46" s="6">
        <v>0.9</v>
      </c>
      <c r="X46">
        <v>1020</v>
      </c>
    </row>
    <row r="47" spans="1:26" x14ac:dyDescent="0.25">
      <c r="S47" s="5" t="s">
        <v>58</v>
      </c>
      <c r="T47" s="15">
        <v>2</v>
      </c>
      <c r="U47" s="6">
        <v>0.9</v>
      </c>
      <c r="X47">
        <v>1050</v>
      </c>
    </row>
    <row r="48" spans="1:26" x14ac:dyDescent="0.25">
      <c r="S48" s="5" t="s">
        <v>59</v>
      </c>
      <c r="T48" s="15">
        <v>2</v>
      </c>
      <c r="U48" s="6">
        <v>0.9</v>
      </c>
      <c r="X48">
        <v>1080</v>
      </c>
    </row>
    <row r="49" spans="19:24" x14ac:dyDescent="0.25">
      <c r="S49" s="5" t="s">
        <v>60</v>
      </c>
      <c r="T49" s="15">
        <v>2</v>
      </c>
      <c r="U49" s="6">
        <v>0.9</v>
      </c>
      <c r="X49">
        <v>1110</v>
      </c>
    </row>
    <row r="50" spans="19:24" x14ac:dyDescent="0.25">
      <c r="S50" s="5" t="s">
        <v>61</v>
      </c>
      <c r="T50" s="15">
        <v>2</v>
      </c>
      <c r="U50" s="6">
        <v>0.9</v>
      </c>
      <c r="X50">
        <v>1140</v>
      </c>
    </row>
    <row r="51" spans="19:24" ht="15" customHeight="1" x14ac:dyDescent="0.25">
      <c r="S51" s="11" t="s">
        <v>62</v>
      </c>
      <c r="T51" s="16">
        <v>3</v>
      </c>
      <c r="U51" s="8">
        <v>0.5</v>
      </c>
      <c r="X51">
        <v>1170</v>
      </c>
    </row>
    <row r="52" spans="19:24" x14ac:dyDescent="0.25">
      <c r="X52">
        <v>1200</v>
      </c>
    </row>
    <row r="53" spans="19:24" ht="15" customHeight="1" x14ac:dyDescent="0.25">
      <c r="X53">
        <v>1230</v>
      </c>
    </row>
    <row r="54" spans="19:24" ht="15" customHeight="1" x14ac:dyDescent="0.25">
      <c r="X54">
        <v>1260</v>
      </c>
    </row>
    <row r="55" spans="19:24" ht="15" customHeight="1" x14ac:dyDescent="0.25">
      <c r="X55">
        <v>1290</v>
      </c>
    </row>
    <row r="56" spans="19:24" ht="15" customHeight="1" x14ac:dyDescent="0.25">
      <c r="X56">
        <v>1320</v>
      </c>
    </row>
    <row r="57" spans="19:24" ht="15" customHeight="1" x14ac:dyDescent="0.25">
      <c r="X57">
        <v>1350</v>
      </c>
    </row>
    <row r="58" spans="19:24" ht="15" customHeight="1" x14ac:dyDescent="0.25">
      <c r="X58">
        <v>1380</v>
      </c>
    </row>
    <row r="59" spans="19:24" ht="15" customHeight="1" x14ac:dyDescent="0.25">
      <c r="X59">
        <v>1410</v>
      </c>
    </row>
    <row r="60" spans="19:24" ht="15" customHeight="1" x14ac:dyDescent="0.25">
      <c r="X60">
        <v>1440</v>
      </c>
    </row>
    <row r="61" spans="19:24" ht="15" customHeight="1" x14ac:dyDescent="0.25">
      <c r="X61">
        <v>1470</v>
      </c>
    </row>
    <row r="62" spans="19:24" ht="15" customHeight="1" x14ac:dyDescent="0.25">
      <c r="X62">
        <v>1500</v>
      </c>
    </row>
    <row r="63" spans="19:24" ht="15" customHeight="1" x14ac:dyDescent="0.25">
      <c r="X63">
        <v>1530</v>
      </c>
    </row>
    <row r="64" spans="19:24" ht="15" customHeight="1" x14ac:dyDescent="0.25">
      <c r="X64">
        <v>1560</v>
      </c>
    </row>
    <row r="65" spans="24:24" ht="15" customHeight="1" x14ac:dyDescent="0.25">
      <c r="X65">
        <v>1590</v>
      </c>
    </row>
    <row r="66" spans="24:24" ht="15" customHeight="1" x14ac:dyDescent="0.25">
      <c r="X66">
        <v>1620</v>
      </c>
    </row>
    <row r="67" spans="24:24" ht="15" customHeight="1" x14ac:dyDescent="0.25">
      <c r="X67">
        <v>1650</v>
      </c>
    </row>
    <row r="68" spans="24:24" ht="15" customHeight="1" x14ac:dyDescent="0.25">
      <c r="X68">
        <v>1680</v>
      </c>
    </row>
    <row r="69" spans="24:24" x14ac:dyDescent="0.25">
      <c r="X69">
        <v>1710</v>
      </c>
    </row>
    <row r="70" spans="24:24" x14ac:dyDescent="0.25">
      <c r="X70">
        <v>1740</v>
      </c>
    </row>
    <row r="71" spans="24:24" x14ac:dyDescent="0.25">
      <c r="X71">
        <v>1770</v>
      </c>
    </row>
    <row r="72" spans="24:24" x14ac:dyDescent="0.25">
      <c r="X72">
        <v>1800</v>
      </c>
    </row>
    <row r="75" spans="24:24" ht="15" customHeight="1" x14ac:dyDescent="0.25"/>
    <row r="76" spans="24:24" ht="15" customHeight="1" x14ac:dyDescent="0.25"/>
    <row r="80" spans="24:24" ht="15" customHeight="1" x14ac:dyDescent="0.25"/>
    <row r="83" ht="15" customHeight="1" x14ac:dyDescent="0.25"/>
    <row r="85" ht="30" customHeight="1" x14ac:dyDescent="0.25"/>
    <row r="93" ht="45.75" customHeight="1" x14ac:dyDescent="0.25"/>
    <row r="94" ht="15" customHeight="1" x14ac:dyDescent="0.25"/>
    <row r="98" spans="23:23" ht="15" customHeight="1" x14ac:dyDescent="0.25"/>
    <row r="103" spans="23:23" ht="15" customHeight="1" x14ac:dyDescent="0.25"/>
    <row r="106" spans="23:23" x14ac:dyDescent="0.25">
      <c r="W106" s="15"/>
    </row>
    <row r="107" spans="23:23" x14ac:dyDescent="0.25">
      <c r="W107" s="15"/>
    </row>
    <row r="108" spans="23:23" x14ac:dyDescent="0.25">
      <c r="W108" s="15"/>
    </row>
    <row r="109" spans="23:23" x14ac:dyDescent="0.25">
      <c r="W109" s="15"/>
    </row>
    <row r="110" spans="23:23" x14ac:dyDescent="0.25">
      <c r="W110" s="15"/>
    </row>
    <row r="111" spans="23:23" x14ac:dyDescent="0.25">
      <c r="W111" s="15"/>
    </row>
    <row r="112" spans="23:23" x14ac:dyDescent="0.25">
      <c r="W112" s="15"/>
    </row>
    <row r="113" spans="23:23" ht="15" customHeight="1" x14ac:dyDescent="0.25">
      <c r="W113" s="15"/>
    </row>
    <row r="114" spans="23:23" ht="15" customHeight="1" x14ac:dyDescent="0.25">
      <c r="W114" s="15"/>
    </row>
    <row r="115" spans="23:23" ht="15" customHeight="1" x14ac:dyDescent="0.25">
      <c r="W115" s="15"/>
    </row>
    <row r="116" spans="23:23" x14ac:dyDescent="0.25">
      <c r="W116" s="15"/>
    </row>
    <row r="117" spans="23:23" x14ac:dyDescent="0.25">
      <c r="W117" s="15"/>
    </row>
    <row r="118" spans="23:23" x14ac:dyDescent="0.25">
      <c r="W118" s="15"/>
    </row>
    <row r="119" spans="23:23" x14ac:dyDescent="0.25">
      <c r="W119" s="15"/>
    </row>
    <row r="120" spans="23:23" x14ac:dyDescent="0.25">
      <c r="W120" s="15"/>
    </row>
    <row r="121" spans="23:23" x14ac:dyDescent="0.25">
      <c r="W121" s="15"/>
    </row>
    <row r="122" spans="23:23" x14ac:dyDescent="0.25">
      <c r="W122" s="15"/>
    </row>
    <row r="123" spans="23:23" ht="15" customHeight="1" x14ac:dyDescent="0.25">
      <c r="W123" s="15"/>
    </row>
    <row r="124" spans="23:23" ht="15" customHeight="1" x14ac:dyDescent="0.25"/>
    <row r="199" ht="15" customHeight="1" x14ac:dyDescent="0.25"/>
    <row r="229" ht="30" customHeight="1" x14ac:dyDescent="0.25"/>
    <row r="232" ht="49.5" customHeight="1" x14ac:dyDescent="0.25"/>
    <row r="233" ht="33" customHeight="1" x14ac:dyDescent="0.25"/>
    <row r="235" ht="31.5" customHeight="1" x14ac:dyDescent="0.25"/>
    <row r="236" ht="15" customHeight="1" x14ac:dyDescent="0.25"/>
    <row r="237" ht="33" customHeight="1" x14ac:dyDescent="0.25"/>
    <row r="238" ht="30.75" customHeight="1" x14ac:dyDescent="0.25"/>
    <row r="239" ht="31.5" customHeight="1" x14ac:dyDescent="0.25"/>
    <row r="240" ht="62.25" customHeight="1" x14ac:dyDescent="0.25"/>
    <row r="241" spans="17:17" ht="46.5" customHeight="1" x14ac:dyDescent="0.25"/>
    <row r="242" spans="17:17" ht="46.5" customHeight="1" x14ac:dyDescent="0.25"/>
    <row r="243" spans="17:17" ht="46.5" customHeight="1" x14ac:dyDescent="0.25"/>
    <row r="244" spans="17:17" ht="46.5" customHeight="1" x14ac:dyDescent="0.25"/>
    <row r="245" spans="17:17" ht="15" customHeight="1" x14ac:dyDescent="0.25"/>
    <row r="248" spans="17:17" ht="56.25" customHeight="1" x14ac:dyDescent="0.25">
      <c r="Q248" s="24"/>
    </row>
    <row r="259" spans="13:17" ht="15" customHeight="1" x14ac:dyDescent="0.25"/>
    <row r="264" spans="13:17" x14ac:dyDescent="0.25">
      <c r="M264">
        <f>IF(G20="S",#REF!*#REF!*#REF!*#REF!,0)*IF(G43="S",0.5,1)</f>
        <v>0</v>
      </c>
    </row>
    <row r="266" spans="13:17" ht="56.25" customHeight="1" x14ac:dyDescent="0.25">
      <c r="Q266" s="24"/>
    </row>
    <row r="268" spans="13:17" x14ac:dyDescent="0.25">
      <c r="N268" t="e">
        <f>IF(#REF!="n.a.",0,#REF!*#REF!)</f>
        <v>#REF!</v>
      </c>
      <c r="O268" t="b">
        <f>ISERROR(N268)</f>
        <v>1</v>
      </c>
    </row>
    <row r="269" spans="13:17" x14ac:dyDescent="0.25">
      <c r="N269" t="e">
        <f>IF(#REF!="n.a.",0,#REF!*#REF!)</f>
        <v>#REF!</v>
      </c>
      <c r="O269" t="b">
        <f>ISERROR(N269)</f>
        <v>1</v>
      </c>
    </row>
  </sheetData>
  <sheetProtection algorithmName="SHA-512" hashValue="+UyvfQfNsJCRKOACBkCQAQvhfOxb4chNu6EJ4KFxNMNlP6v1l4ruaJ5LhJrcZYvFZEXR2gm+F5uW+ml/4jCCTA==" saltValue="ETbrwTbbBxv7pEbk9N0lnw==" spinCount="100000" sheet="1" objects="1" scenarios="1" selectLockedCells="1"/>
  <sortState ref="S2:U40">
    <sortCondition ref="S2:S40"/>
  </sortState>
  <mergeCells count="5">
    <mergeCell ref="S11:U11"/>
    <mergeCell ref="A7:K7"/>
    <mergeCell ref="A9:K10"/>
    <mergeCell ref="D15:G15"/>
    <mergeCell ref="B12:K12"/>
  </mergeCells>
  <dataValidations count="6">
    <dataValidation type="list" allowBlank="1" showInputMessage="1" showErrorMessage="1" sqref="AE15:AE22">
      <formula1>$M$12:$M$14</formula1>
    </dataValidation>
    <dataValidation type="list" allowBlank="1" showInputMessage="1" showErrorMessage="1" sqref="G38 G36 G34 G20 G32 G30 G28 G26">
      <formula1>$P$12:$P$14</formula1>
    </dataValidation>
    <dataValidation type="list" allowBlank="1" showInputMessage="1" showErrorMessage="1" sqref="G43">
      <formula1>$P$12:$P$13</formula1>
    </dataValidation>
    <dataValidation type="list" allowBlank="1" showInputMessage="1" showErrorMessage="1" sqref="E16:G16">
      <formula1>$S$13:$S$51</formula1>
    </dataValidation>
    <dataValidation type="list" allowBlank="1" showInputMessage="1" showErrorMessage="1" sqref="D15:G15">
      <formula1>$S$12:$S$51</formula1>
    </dataValidation>
    <dataValidation type="list" showInputMessage="1" showErrorMessage="1" sqref="G22">
      <formula1>X12:X72</formula1>
    </dataValidation>
  </dataValidations>
  <hyperlinks>
    <hyperlink ref="H43" r:id="rId1"/>
    <hyperlink ref="H20" r:id="rId2"/>
  </hyperlinks>
  <pageMargins left="0.70866141732283472" right="0.55118110236220474" top="0.51181102362204722" bottom="0.55118110236220474" header="0.31496062992125984" footer="0.31496062992125984"/>
  <pageSetup paperSize="9" scale="80" fitToHeight="0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8:P41"/>
  <sheetViews>
    <sheetView zoomScaleNormal="100" zoomScaleSheetLayoutView="100" workbookViewId="0">
      <pane ySplit="6" topLeftCell="A16" activePane="bottomLeft" state="frozen"/>
      <selection activeCell="G22" sqref="G22"/>
      <selection pane="bottomLeft" activeCell="C25" sqref="C25:E25"/>
    </sheetView>
  </sheetViews>
  <sheetFormatPr defaultRowHeight="15" x14ac:dyDescent="0.25"/>
  <cols>
    <col min="5" max="5" width="18.42578125" customWidth="1"/>
    <col min="10" max="10" width="5.28515625" customWidth="1"/>
    <col min="11" max="11" width="3" customWidth="1"/>
    <col min="12" max="12" width="4.140625" customWidth="1"/>
    <col min="13" max="16" width="9.140625" hidden="1" customWidth="1"/>
    <col min="17" max="22" width="9.140625" customWidth="1"/>
    <col min="24" max="33" width="10.5703125" customWidth="1"/>
  </cols>
  <sheetData>
    <row r="8" spans="1:16" ht="15.75" x14ac:dyDescent="0.25">
      <c r="A8" s="117" t="s">
        <v>98</v>
      </c>
      <c r="B8" s="118"/>
      <c r="C8" s="118"/>
      <c r="D8" s="118"/>
      <c r="E8" s="118"/>
      <c r="F8" s="118"/>
      <c r="G8" s="118"/>
      <c r="H8" s="118"/>
      <c r="I8" s="118"/>
      <c r="J8" s="118"/>
      <c r="K8" s="119"/>
    </row>
    <row r="9" spans="1:16" ht="15.75" x14ac:dyDescent="0.25">
      <c r="A9" s="67"/>
      <c r="B9" s="68"/>
      <c r="C9" s="68"/>
      <c r="D9" s="68"/>
      <c r="E9" s="68"/>
      <c r="F9" s="68"/>
      <c r="G9" s="68"/>
      <c r="H9" s="68"/>
      <c r="I9" s="68"/>
      <c r="J9" s="68"/>
      <c r="K9" s="69"/>
    </row>
    <row r="10" spans="1:16" x14ac:dyDescent="0.25">
      <c r="A10" s="129" t="s">
        <v>99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1"/>
    </row>
    <row r="11" spans="1:16" x14ac:dyDescent="0.25">
      <c r="A11" s="129"/>
      <c r="B11" s="130"/>
      <c r="C11" s="130"/>
      <c r="D11" s="130"/>
      <c r="E11" s="130"/>
      <c r="F11" s="130"/>
      <c r="G11" s="130"/>
      <c r="H11" s="130"/>
      <c r="I11" s="130"/>
      <c r="J11" s="130"/>
      <c r="K11" s="131"/>
    </row>
    <row r="12" spans="1:16" ht="15.75" x14ac:dyDescent="0.25">
      <c r="A12" s="70"/>
      <c r="B12" s="71"/>
      <c r="C12" s="71"/>
      <c r="D12" s="71"/>
      <c r="E12" s="71"/>
      <c r="F12" s="71"/>
      <c r="G12" s="71"/>
      <c r="H12" s="71"/>
      <c r="I12" s="71"/>
      <c r="J12" s="72"/>
      <c r="K12" s="73"/>
    </row>
    <row r="13" spans="1:16" ht="15.75" x14ac:dyDescent="0.25">
      <c r="A13" s="70"/>
      <c r="B13" s="132" t="s">
        <v>100</v>
      </c>
      <c r="C13" s="132"/>
      <c r="D13" s="132"/>
      <c r="E13" s="132"/>
      <c r="F13" s="132"/>
      <c r="G13" s="132"/>
      <c r="H13" s="132"/>
      <c r="I13" s="132"/>
      <c r="J13" s="132"/>
      <c r="K13" s="133"/>
    </row>
    <row r="14" spans="1:16" x14ac:dyDescent="0.25">
      <c r="A14" s="70"/>
      <c r="B14" s="71"/>
      <c r="C14" s="71"/>
      <c r="D14" s="71"/>
      <c r="E14" s="71"/>
      <c r="F14" s="71"/>
      <c r="G14" s="71"/>
      <c r="H14" s="71"/>
      <c r="I14" s="71"/>
      <c r="J14" s="74"/>
      <c r="K14" s="73"/>
    </row>
    <row r="15" spans="1:16" x14ac:dyDescent="0.25">
      <c r="A15" s="75">
        <v>7</v>
      </c>
      <c r="B15" s="76" t="s">
        <v>134</v>
      </c>
      <c r="C15" s="71"/>
      <c r="D15" s="71"/>
      <c r="E15" s="71"/>
      <c r="F15" s="71"/>
      <c r="G15" s="71"/>
      <c r="H15" s="71"/>
      <c r="I15" s="71"/>
      <c r="J15" s="71"/>
      <c r="K15" s="73"/>
      <c r="M15" s="25" t="s">
        <v>102</v>
      </c>
      <c r="N15" s="26"/>
      <c r="O15" s="26"/>
      <c r="P15" s="27"/>
    </row>
    <row r="16" spans="1:16" x14ac:dyDescent="0.25">
      <c r="A16" s="75"/>
      <c r="B16" s="76"/>
      <c r="C16" s="71"/>
      <c r="D16" s="71"/>
      <c r="E16" s="71"/>
      <c r="F16" s="71"/>
      <c r="G16" s="71"/>
      <c r="H16" s="71"/>
      <c r="I16" s="71"/>
      <c r="J16" s="71"/>
      <c r="K16" s="73"/>
      <c r="M16" s="5" t="s">
        <v>128</v>
      </c>
      <c r="N16" s="15"/>
      <c r="O16" s="15"/>
      <c r="P16" s="6"/>
    </row>
    <row r="17" spans="1:16" x14ac:dyDescent="0.25">
      <c r="A17" s="75">
        <v>7.1</v>
      </c>
      <c r="B17" s="71"/>
      <c r="C17" s="71" t="s">
        <v>15</v>
      </c>
      <c r="D17" s="71"/>
      <c r="E17" s="71"/>
      <c r="F17" s="71"/>
      <c r="G17" s="71"/>
      <c r="H17" s="71"/>
      <c r="I17" s="71"/>
      <c r="J17" s="71"/>
      <c r="K17" s="73"/>
      <c r="M17" s="5" t="s">
        <v>132</v>
      </c>
      <c r="N17" s="15"/>
      <c r="O17" s="15"/>
      <c r="P17" s="6"/>
    </row>
    <row r="18" spans="1:16" x14ac:dyDescent="0.25">
      <c r="A18" s="75"/>
      <c r="B18" s="71"/>
      <c r="C18" s="71"/>
      <c r="D18" s="71"/>
      <c r="E18" s="71"/>
      <c r="F18" s="71"/>
      <c r="G18" s="71"/>
      <c r="H18" s="71"/>
      <c r="I18" s="71"/>
      <c r="J18" s="71"/>
      <c r="K18" s="73"/>
      <c r="M18" s="5" t="s">
        <v>129</v>
      </c>
      <c r="N18" s="15"/>
      <c r="O18" s="15"/>
      <c r="P18" s="6"/>
    </row>
    <row r="19" spans="1:16" x14ac:dyDescent="0.25">
      <c r="A19" s="70"/>
      <c r="B19" s="71" t="s">
        <v>90</v>
      </c>
      <c r="C19" s="71" t="s">
        <v>1</v>
      </c>
      <c r="D19" s="71"/>
      <c r="E19" s="71"/>
      <c r="F19" s="71"/>
      <c r="G19" s="71"/>
      <c r="H19" s="71"/>
      <c r="I19" s="4"/>
      <c r="J19" s="71" t="s">
        <v>13</v>
      </c>
      <c r="K19" s="73"/>
      <c r="M19" s="5" t="s">
        <v>130</v>
      </c>
      <c r="N19" s="15"/>
      <c r="O19" s="15"/>
      <c r="P19" s="6"/>
    </row>
    <row r="20" spans="1:16" x14ac:dyDescent="0.25">
      <c r="A20" s="75"/>
      <c r="B20" s="71"/>
      <c r="C20" s="71"/>
      <c r="D20" s="71"/>
      <c r="E20" s="71"/>
      <c r="F20" s="71"/>
      <c r="G20" s="71"/>
      <c r="H20" s="71"/>
      <c r="I20" s="71"/>
      <c r="J20" s="71"/>
      <c r="K20" s="73"/>
      <c r="M20" s="5" t="s">
        <v>133</v>
      </c>
      <c r="N20" s="15"/>
      <c r="O20" s="15"/>
      <c r="P20" s="6"/>
    </row>
    <row r="21" spans="1:16" x14ac:dyDescent="0.25">
      <c r="A21" s="70"/>
      <c r="B21" s="71" t="s">
        <v>91</v>
      </c>
      <c r="C21" s="71" t="s">
        <v>64</v>
      </c>
      <c r="D21" s="71"/>
      <c r="E21" s="71"/>
      <c r="F21" s="71"/>
      <c r="G21" s="71"/>
      <c r="H21" s="71"/>
      <c r="I21" s="4"/>
      <c r="J21" s="71" t="s">
        <v>13</v>
      </c>
      <c r="K21" s="73"/>
      <c r="M21" s="5" t="s">
        <v>23</v>
      </c>
      <c r="N21" s="15"/>
      <c r="O21" s="15"/>
      <c r="P21" s="6"/>
    </row>
    <row r="22" spans="1:16" x14ac:dyDescent="0.25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3"/>
      <c r="M22" s="11" t="s">
        <v>131</v>
      </c>
      <c r="N22" s="16"/>
      <c r="O22" s="16"/>
      <c r="P22" s="8"/>
    </row>
    <row r="23" spans="1:16" x14ac:dyDescent="0.25">
      <c r="A23" s="70"/>
      <c r="B23" s="71" t="s">
        <v>92</v>
      </c>
      <c r="C23" s="71" t="s">
        <v>63</v>
      </c>
      <c r="D23" s="71"/>
      <c r="E23" s="71"/>
      <c r="F23" s="71"/>
      <c r="G23" s="71"/>
      <c r="H23" s="71"/>
      <c r="I23" s="4"/>
      <c r="J23" s="71" t="s">
        <v>13</v>
      </c>
      <c r="K23" s="73"/>
      <c r="M23" s="15"/>
      <c r="N23" s="15"/>
      <c r="O23" s="15"/>
      <c r="P23" s="15"/>
    </row>
    <row r="24" spans="1:16" x14ac:dyDescent="0.25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3"/>
      <c r="M24" s="15"/>
      <c r="N24" s="15"/>
      <c r="O24" s="15"/>
      <c r="P24" s="15"/>
    </row>
    <row r="25" spans="1:16" x14ac:dyDescent="0.25">
      <c r="A25" s="70"/>
      <c r="B25" s="71" t="s">
        <v>136</v>
      </c>
      <c r="C25" s="134" t="s">
        <v>102</v>
      </c>
      <c r="D25" s="135"/>
      <c r="E25" s="136"/>
      <c r="F25" s="71"/>
      <c r="G25" s="71"/>
      <c r="H25" s="71"/>
      <c r="I25" s="4"/>
      <c r="J25" s="71" t="s">
        <v>13</v>
      </c>
      <c r="K25" s="73"/>
    </row>
    <row r="26" spans="1:16" x14ac:dyDescent="0.25">
      <c r="A26" s="70"/>
      <c r="B26" s="71"/>
      <c r="C26" s="71"/>
      <c r="D26" s="71"/>
      <c r="E26" s="71"/>
      <c r="F26" s="71"/>
      <c r="G26" s="71"/>
      <c r="H26" s="71"/>
      <c r="I26" s="71"/>
      <c r="J26" s="71"/>
      <c r="K26" s="73"/>
    </row>
    <row r="27" spans="1:16" x14ac:dyDescent="0.25">
      <c r="A27" s="75">
        <v>9</v>
      </c>
      <c r="B27" s="76" t="s">
        <v>17</v>
      </c>
      <c r="C27" s="71"/>
      <c r="D27" s="71"/>
      <c r="E27" s="71"/>
      <c r="F27" s="71"/>
      <c r="G27" s="71"/>
      <c r="H27" s="71"/>
      <c r="I27" s="71"/>
      <c r="J27" s="71"/>
      <c r="K27" s="73"/>
    </row>
    <row r="28" spans="1:16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3"/>
    </row>
    <row r="29" spans="1:16" x14ac:dyDescent="0.25">
      <c r="A29" s="75">
        <v>9.1</v>
      </c>
      <c r="B29" s="71"/>
      <c r="C29" s="71" t="s">
        <v>19</v>
      </c>
      <c r="D29" s="71"/>
      <c r="E29" s="71"/>
      <c r="F29" s="71"/>
      <c r="G29" s="71"/>
      <c r="H29" s="71"/>
      <c r="I29" s="4"/>
      <c r="J29" s="71" t="s">
        <v>18</v>
      </c>
      <c r="K29" s="73"/>
    </row>
    <row r="30" spans="1:16" x14ac:dyDescent="0.25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3"/>
    </row>
    <row r="31" spans="1:16" x14ac:dyDescent="0.25">
      <c r="A31" s="75">
        <v>9.1999999999999993</v>
      </c>
      <c r="B31" s="71"/>
      <c r="C31" s="71" t="s">
        <v>20</v>
      </c>
      <c r="D31" s="71"/>
      <c r="E31" s="71"/>
      <c r="F31" s="71"/>
      <c r="G31" s="71"/>
      <c r="H31" s="71"/>
      <c r="I31" s="4"/>
      <c r="J31" s="71" t="s">
        <v>13</v>
      </c>
      <c r="K31" s="73"/>
    </row>
    <row r="32" spans="1:16" x14ac:dyDescent="0.25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3"/>
    </row>
    <row r="33" spans="1:11" x14ac:dyDescent="0.25">
      <c r="A33" s="75">
        <v>9.3000000000000007</v>
      </c>
      <c r="B33" s="71"/>
      <c r="C33" s="128" t="s">
        <v>21</v>
      </c>
      <c r="D33" s="128"/>
      <c r="E33" s="128"/>
      <c r="F33" s="128"/>
      <c r="G33" s="128"/>
      <c r="H33" s="128"/>
      <c r="I33" s="71"/>
      <c r="J33" s="71"/>
      <c r="K33" s="73"/>
    </row>
    <row r="34" spans="1:11" x14ac:dyDescent="0.25">
      <c r="A34" s="70"/>
      <c r="B34" s="71"/>
      <c r="C34" s="128"/>
      <c r="D34" s="128"/>
      <c r="E34" s="128"/>
      <c r="F34" s="128"/>
      <c r="G34" s="128"/>
      <c r="H34" s="128"/>
      <c r="I34" s="4"/>
      <c r="J34" s="71" t="s">
        <v>13</v>
      </c>
      <c r="K34" s="73"/>
    </row>
    <row r="35" spans="1:11" x14ac:dyDescent="0.25">
      <c r="A35" s="70"/>
      <c r="B35" s="71"/>
      <c r="C35" s="71"/>
      <c r="D35" s="71"/>
      <c r="E35" s="71"/>
      <c r="F35" s="71"/>
      <c r="G35" s="71"/>
      <c r="H35" s="71"/>
      <c r="I35" s="71"/>
      <c r="J35" s="71"/>
      <c r="K35" s="73"/>
    </row>
    <row r="36" spans="1:11" x14ac:dyDescent="0.25">
      <c r="A36" s="75">
        <v>9.4</v>
      </c>
      <c r="B36" s="71"/>
      <c r="C36" s="128" t="s">
        <v>123</v>
      </c>
      <c r="D36" s="128"/>
      <c r="E36" s="128"/>
      <c r="F36" s="128"/>
      <c r="G36" s="128"/>
      <c r="H36" s="128"/>
      <c r="I36" s="71"/>
      <c r="J36" s="71"/>
      <c r="K36" s="73"/>
    </row>
    <row r="37" spans="1:11" x14ac:dyDescent="0.25">
      <c r="A37" s="70"/>
      <c r="B37" s="71"/>
      <c r="C37" s="128"/>
      <c r="D37" s="128"/>
      <c r="E37" s="128"/>
      <c r="F37" s="128"/>
      <c r="G37" s="128"/>
      <c r="H37" s="128"/>
      <c r="I37" s="4"/>
      <c r="J37" s="71" t="s">
        <v>16</v>
      </c>
      <c r="K37" s="73"/>
    </row>
    <row r="38" spans="1:11" x14ac:dyDescent="0.25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3"/>
    </row>
    <row r="39" spans="1:11" x14ac:dyDescent="0.25">
      <c r="A39" s="75">
        <v>9.5</v>
      </c>
      <c r="B39" s="71"/>
      <c r="C39" s="128" t="s">
        <v>22</v>
      </c>
      <c r="D39" s="128"/>
      <c r="E39" s="128"/>
      <c r="F39" s="128"/>
      <c r="G39" s="128"/>
      <c r="H39" s="128"/>
      <c r="I39" s="71"/>
      <c r="J39" s="71"/>
      <c r="K39" s="73"/>
    </row>
    <row r="40" spans="1:11" x14ac:dyDescent="0.25">
      <c r="A40" s="70"/>
      <c r="B40" s="71"/>
      <c r="C40" s="128"/>
      <c r="D40" s="128"/>
      <c r="E40" s="128"/>
      <c r="F40" s="128"/>
      <c r="G40" s="128"/>
      <c r="H40" s="128"/>
      <c r="I40" s="4"/>
      <c r="J40" s="71" t="s">
        <v>16</v>
      </c>
      <c r="K40" s="73"/>
    </row>
    <row r="41" spans="1:11" x14ac:dyDescent="0.25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9"/>
    </row>
  </sheetData>
  <sheetProtection algorithmName="SHA-512" hashValue="PfKOqIvFVLevjx/owyALDM39UIHIwr+Xcs4D1yOcVTfMwnZGwz2t7W22G+vj3qmjODc2DdIqMDXFCjrAOoJQGQ==" saltValue="8q33djXCEk0NQUb5mAPMuQ==" spinCount="100000" sheet="1" objects="1" scenarios="1" selectLockedCells="1"/>
  <mergeCells count="7">
    <mergeCell ref="C36:H37"/>
    <mergeCell ref="C39:H40"/>
    <mergeCell ref="A8:K8"/>
    <mergeCell ref="A10:K11"/>
    <mergeCell ref="B13:K13"/>
    <mergeCell ref="C25:E25"/>
    <mergeCell ref="C33:H34"/>
  </mergeCells>
  <dataValidations count="1">
    <dataValidation type="list" allowBlank="1" showInputMessage="1" showErrorMessage="1" sqref="C25:E25">
      <formula1>$M$15:$M$22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A5:T63"/>
  <sheetViews>
    <sheetView zoomScale="85" zoomScaleNormal="85" zoomScaleSheetLayoutView="100" workbookViewId="0">
      <pane ySplit="5" topLeftCell="A15" activePane="bottomLeft" state="frozen"/>
      <selection activeCell="C39" sqref="C39:H40"/>
      <selection pane="bottomLeft" activeCell="L1" sqref="L1:T1048576"/>
    </sheetView>
  </sheetViews>
  <sheetFormatPr defaultRowHeight="15" x14ac:dyDescent="0.25"/>
  <cols>
    <col min="2" max="2" width="9.28515625" bestFit="1" customWidth="1"/>
    <col min="3" max="3" width="41.140625" customWidth="1"/>
    <col min="4" max="4" width="10.42578125" bestFit="1" customWidth="1"/>
    <col min="5" max="5" width="10" customWidth="1"/>
    <col min="6" max="6" width="10.85546875" customWidth="1"/>
    <col min="7" max="7" width="9.28515625" bestFit="1" customWidth="1"/>
    <col min="8" max="8" width="13.28515625" customWidth="1"/>
    <col min="10" max="11" width="9.140625" customWidth="1"/>
    <col min="12" max="20" width="9.140625" hidden="1" customWidth="1"/>
  </cols>
  <sheetData>
    <row r="5" spans="1:16" ht="21.75" customHeight="1" x14ac:dyDescent="0.25"/>
    <row r="6" spans="1:16" ht="16.5" customHeight="1" x14ac:dyDescent="0.25"/>
    <row r="7" spans="1:16" ht="15.75" x14ac:dyDescent="0.25">
      <c r="A7" s="117" t="s">
        <v>98</v>
      </c>
      <c r="B7" s="118"/>
      <c r="C7" s="118"/>
      <c r="D7" s="118"/>
      <c r="E7" s="118"/>
      <c r="F7" s="118"/>
      <c r="G7" s="118"/>
      <c r="H7" s="118"/>
      <c r="I7" s="119"/>
    </row>
    <row r="8" spans="1:16" ht="15.75" x14ac:dyDescent="0.25">
      <c r="A8" s="67"/>
      <c r="B8" s="68"/>
      <c r="C8" s="68"/>
      <c r="D8" s="68"/>
      <c r="E8" s="68"/>
      <c r="F8" s="68"/>
      <c r="G8" s="68"/>
      <c r="H8" s="68"/>
      <c r="I8" s="69"/>
    </row>
    <row r="9" spans="1:16" x14ac:dyDescent="0.25">
      <c r="A9" s="129" t="s">
        <v>99</v>
      </c>
      <c r="B9" s="130"/>
      <c r="C9" s="130"/>
      <c r="D9" s="130"/>
      <c r="E9" s="130"/>
      <c r="F9" s="130"/>
      <c r="G9" s="130"/>
      <c r="H9" s="130"/>
      <c r="I9" s="131"/>
    </row>
    <row r="10" spans="1:16" x14ac:dyDescent="0.25">
      <c r="A10" s="129"/>
      <c r="B10" s="130"/>
      <c r="C10" s="130"/>
      <c r="D10" s="130"/>
      <c r="E10" s="130"/>
      <c r="F10" s="130"/>
      <c r="G10" s="130"/>
      <c r="H10" s="130"/>
      <c r="I10" s="131"/>
    </row>
    <row r="11" spans="1:16" ht="15.75" x14ac:dyDescent="0.25">
      <c r="A11" s="70"/>
      <c r="B11" s="71"/>
      <c r="C11" s="71"/>
      <c r="D11" s="71"/>
      <c r="E11" s="71"/>
      <c r="F11" s="71"/>
      <c r="G11" s="71"/>
      <c r="H11" s="72"/>
      <c r="I11" s="73"/>
    </row>
    <row r="12" spans="1:16" ht="15.75" x14ac:dyDescent="0.25">
      <c r="A12" s="70"/>
      <c r="B12" s="132" t="s">
        <v>100</v>
      </c>
      <c r="C12" s="132"/>
      <c r="D12" s="132"/>
      <c r="E12" s="132"/>
      <c r="F12" s="132"/>
      <c r="G12" s="132"/>
      <c r="H12" s="132"/>
      <c r="I12" s="133"/>
    </row>
    <row r="13" spans="1:16" x14ac:dyDescent="0.25">
      <c r="A13" s="70"/>
      <c r="B13" s="71"/>
      <c r="C13" s="71"/>
      <c r="D13" s="71"/>
      <c r="E13" s="71"/>
      <c r="F13" s="71"/>
      <c r="G13" s="71"/>
      <c r="H13" s="74"/>
      <c r="I13" s="73"/>
    </row>
    <row r="14" spans="1:16" x14ac:dyDescent="0.25">
      <c r="A14" s="70"/>
      <c r="B14" s="71"/>
      <c r="C14" s="71"/>
      <c r="D14" s="71"/>
      <c r="E14" s="71"/>
      <c r="F14" s="71"/>
      <c r="G14" s="71"/>
      <c r="H14" s="71"/>
      <c r="I14" s="73"/>
    </row>
    <row r="15" spans="1:16" ht="45" x14ac:dyDescent="0.25">
      <c r="A15" s="70"/>
      <c r="B15" s="31" t="s">
        <v>66</v>
      </c>
      <c r="C15" s="32" t="s">
        <v>67</v>
      </c>
      <c r="D15" s="33" t="s">
        <v>68</v>
      </c>
      <c r="E15" s="33" t="s">
        <v>69</v>
      </c>
      <c r="F15" s="33" t="s">
        <v>70</v>
      </c>
      <c r="G15" s="33" t="s">
        <v>124</v>
      </c>
      <c r="H15" s="33" t="s">
        <v>71</v>
      </c>
      <c r="I15" s="73"/>
      <c r="L15" s="3" t="s">
        <v>68</v>
      </c>
      <c r="M15" s="3" t="s">
        <v>69</v>
      </c>
      <c r="N15" s="3" t="s">
        <v>125</v>
      </c>
      <c r="O15" s="3" t="s">
        <v>126</v>
      </c>
      <c r="P15" s="3" t="s">
        <v>71</v>
      </c>
    </row>
    <row r="16" spans="1:16" x14ac:dyDescent="0.25">
      <c r="A16" s="70"/>
      <c r="B16" s="34" t="s">
        <v>110</v>
      </c>
      <c r="C16" s="153" t="s">
        <v>95</v>
      </c>
      <c r="D16" s="154"/>
      <c r="E16" s="154"/>
      <c r="F16" s="154"/>
      <c r="G16" s="154"/>
      <c r="H16" s="155"/>
      <c r="I16" s="73"/>
    </row>
    <row r="17" spans="1:19" x14ac:dyDescent="0.25">
      <c r="A17" s="70"/>
      <c r="B17" s="35">
        <v>1</v>
      </c>
      <c r="C17" s="36" t="s">
        <v>72</v>
      </c>
      <c r="D17" s="37">
        <f>+L17</f>
        <v>66.680000000000007</v>
      </c>
      <c r="E17" s="142"/>
      <c r="F17" s="143"/>
      <c r="G17" s="143"/>
      <c r="H17" s="144"/>
      <c r="I17" s="73"/>
      <c r="L17">
        <v>66.680000000000007</v>
      </c>
      <c r="O17" s="24">
        <f>IF(Localização!$G$43="S",0.5,1)</f>
        <v>1</v>
      </c>
    </row>
    <row r="18" spans="1:19" ht="15" customHeight="1" x14ac:dyDescent="0.25">
      <c r="A18" s="70"/>
      <c r="B18" s="38" t="s">
        <v>108</v>
      </c>
      <c r="C18" s="39" t="s">
        <v>73</v>
      </c>
      <c r="D18" s="40">
        <f t="shared" ref="D18:D33" si="0">+L18</f>
        <v>26.47</v>
      </c>
      <c r="E18" s="41">
        <v>1</v>
      </c>
      <c r="F18" s="42"/>
      <c r="G18" s="41" t="str">
        <f t="shared" ref="G18:G27" si="1">IF(O18=1," ",O18)</f>
        <v xml:space="preserve"> </v>
      </c>
      <c r="H18" s="43">
        <f>IF(P18&gt;0,P18," ")</f>
        <v>26.47</v>
      </c>
      <c r="I18" s="73"/>
      <c r="L18" s="105">
        <v>26.47</v>
      </c>
      <c r="M18" s="24">
        <v>1</v>
      </c>
      <c r="O18" s="24">
        <f>IF(Localização!$G$43="S",0.5,1)</f>
        <v>1</v>
      </c>
      <c r="P18" s="24">
        <f>+L18*M18*O17</f>
        <v>26.47</v>
      </c>
      <c r="Q18" s="29" t="s">
        <v>127</v>
      </c>
      <c r="S18" s="24">
        <f>SUM(M20:M27)</f>
        <v>0</v>
      </c>
    </row>
    <row r="19" spans="1:19" ht="30" x14ac:dyDescent="0.25">
      <c r="A19" s="70"/>
      <c r="B19" s="38" t="s">
        <v>109</v>
      </c>
      <c r="C19" s="44" t="s">
        <v>74</v>
      </c>
      <c r="D19" s="40">
        <f t="shared" si="0"/>
        <v>13.9</v>
      </c>
      <c r="E19" s="45" t="str">
        <f>IF(M19&gt;0,M19,"-")</f>
        <v>-</v>
      </c>
      <c r="F19" s="43"/>
      <c r="G19" s="46" t="str">
        <f t="shared" si="1"/>
        <v xml:space="preserve"> </v>
      </c>
      <c r="H19" s="43" t="str">
        <f t="shared" ref="H19:H33" si="2">IF(P19&gt;0,P19," ")</f>
        <v xml:space="preserve"> </v>
      </c>
      <c r="I19" s="73"/>
      <c r="L19" s="106">
        <v>13.9</v>
      </c>
      <c r="M19" s="30">
        <f>IF(Localização!G20="-",0,Localização!G22/30)</f>
        <v>0</v>
      </c>
      <c r="N19" s="28"/>
      <c r="O19" s="24">
        <f>IF(Localização!$G$43="S",0.5,1)</f>
        <v>1</v>
      </c>
      <c r="P19" s="24">
        <f t="shared" ref="P19:P27" si="3">+L19*M19*O19</f>
        <v>0</v>
      </c>
    </row>
    <row r="20" spans="1:19" x14ac:dyDescent="0.25">
      <c r="A20" s="70"/>
      <c r="B20" s="38" t="s">
        <v>75</v>
      </c>
      <c r="C20" s="47" t="s">
        <v>76</v>
      </c>
      <c r="D20" s="40">
        <f t="shared" si="0"/>
        <v>1.1499999999999999</v>
      </c>
      <c r="E20" s="43" t="str">
        <f>IF(M20&gt;0,M20,"-")</f>
        <v>-</v>
      </c>
      <c r="F20" s="42"/>
      <c r="G20" s="46" t="str">
        <f t="shared" si="1"/>
        <v xml:space="preserve"> </v>
      </c>
      <c r="H20" s="43" t="str">
        <f t="shared" si="2"/>
        <v xml:space="preserve"> </v>
      </c>
      <c r="I20" s="73"/>
      <c r="L20" s="107">
        <v>1.1499999999999999</v>
      </c>
      <c r="M20">
        <f>+Áreas!I19</f>
        <v>0</v>
      </c>
      <c r="O20" s="24">
        <f>IF(Localização!$G$43="S",0.5,1)</f>
        <v>1</v>
      </c>
      <c r="P20" s="24">
        <f t="shared" si="3"/>
        <v>0</v>
      </c>
    </row>
    <row r="21" spans="1:19" ht="30" x14ac:dyDescent="0.25">
      <c r="A21" s="70"/>
      <c r="B21" s="38" t="s">
        <v>77</v>
      </c>
      <c r="C21" s="55" t="s">
        <v>78</v>
      </c>
      <c r="D21" s="40">
        <f t="shared" si="0"/>
        <v>1.1499999999999999</v>
      </c>
      <c r="E21" s="43" t="str">
        <f>IF(P21&gt;0,M21,"-")</f>
        <v>-</v>
      </c>
      <c r="F21" s="42"/>
      <c r="G21" s="46" t="str">
        <f t="shared" si="1"/>
        <v xml:space="preserve"> </v>
      </c>
      <c r="H21" s="43" t="str">
        <f t="shared" si="2"/>
        <v xml:space="preserve"> </v>
      </c>
      <c r="I21" s="73"/>
      <c r="L21" s="108">
        <v>1.1499999999999999</v>
      </c>
      <c r="M21" s="30">
        <f>+Áreas!I21</f>
        <v>0</v>
      </c>
      <c r="N21" s="28">
        <f>IF(M21&lt;=100,1,0)</f>
        <v>1</v>
      </c>
      <c r="O21" s="24">
        <f>IF(Localização!$G$43="S",0.5,1)</f>
        <v>1</v>
      </c>
      <c r="P21" s="24">
        <f>+L21*M21*O21*N21</f>
        <v>0</v>
      </c>
    </row>
    <row r="22" spans="1:19" ht="30" x14ac:dyDescent="0.25">
      <c r="A22" s="70"/>
      <c r="B22" s="38" t="s">
        <v>79</v>
      </c>
      <c r="C22" s="55" t="s">
        <v>80</v>
      </c>
      <c r="D22" s="40">
        <f t="shared" si="0"/>
        <v>2.15</v>
      </c>
      <c r="E22" s="43" t="str">
        <f>IF(P22&gt;0,M22,"-")</f>
        <v>-</v>
      </c>
      <c r="F22" s="42"/>
      <c r="G22" s="46" t="str">
        <f t="shared" si="1"/>
        <v xml:space="preserve"> </v>
      </c>
      <c r="H22" s="43" t="str">
        <f t="shared" si="2"/>
        <v xml:space="preserve"> </v>
      </c>
      <c r="I22" s="73"/>
      <c r="L22" s="105">
        <v>2.15</v>
      </c>
      <c r="M22" s="24">
        <f>+Áreas!I21</f>
        <v>0</v>
      </c>
      <c r="N22" s="28">
        <f>IF(M22&gt;100,1,0)</f>
        <v>0</v>
      </c>
      <c r="O22" s="24">
        <f>IF(Localização!$G$43="S",0.5,1)</f>
        <v>1</v>
      </c>
      <c r="P22" s="24">
        <f>+L22*M22*O22*N22</f>
        <v>0</v>
      </c>
    </row>
    <row r="23" spans="1:19" x14ac:dyDescent="0.25">
      <c r="A23" s="70"/>
      <c r="B23" s="38" t="s">
        <v>81</v>
      </c>
      <c r="C23" s="55" t="s">
        <v>82</v>
      </c>
      <c r="D23" s="40">
        <f t="shared" si="0"/>
        <v>2.15</v>
      </c>
      <c r="E23" s="43" t="str">
        <f>IF(M23&gt;0,M23,"-")</f>
        <v>-</v>
      </c>
      <c r="F23" s="42"/>
      <c r="G23" s="46" t="str">
        <f t="shared" si="1"/>
        <v xml:space="preserve"> </v>
      </c>
      <c r="H23" s="43" t="str">
        <f t="shared" si="2"/>
        <v xml:space="preserve"> </v>
      </c>
      <c r="I23" s="73"/>
      <c r="L23" s="105">
        <v>2.15</v>
      </c>
      <c r="M23">
        <f>+Áreas!I23</f>
        <v>0</v>
      </c>
      <c r="O23" s="24">
        <f>IF(Localização!$G$43="S",0.5,1)</f>
        <v>1</v>
      </c>
      <c r="P23" s="24">
        <f t="shared" si="3"/>
        <v>0</v>
      </c>
    </row>
    <row r="24" spans="1:19" ht="30" x14ac:dyDescent="0.25">
      <c r="A24" s="70"/>
      <c r="B24" s="38" t="s">
        <v>83</v>
      </c>
      <c r="C24" s="55" t="s">
        <v>84</v>
      </c>
      <c r="D24" s="40">
        <f t="shared" si="0"/>
        <v>12</v>
      </c>
      <c r="E24" s="43" t="str">
        <f>IF(M24&gt;0,M24,"-")</f>
        <v>-</v>
      </c>
      <c r="F24" s="42"/>
      <c r="G24" s="46" t="str">
        <f t="shared" si="1"/>
        <v xml:space="preserve"> </v>
      </c>
      <c r="H24" s="43" t="str">
        <f t="shared" si="2"/>
        <v xml:space="preserve"> </v>
      </c>
      <c r="I24" s="73"/>
      <c r="L24" s="105">
        <v>12</v>
      </c>
      <c r="M24" s="24">
        <f>IF(Áreas!C25="Parques de Campismo",Áreas!I25,0)</f>
        <v>0</v>
      </c>
      <c r="N24" s="24"/>
      <c r="O24" s="24">
        <f>IF(Localização!$G$43="S",0.5,1)</f>
        <v>1</v>
      </c>
      <c r="P24" s="24">
        <f>+L24*M24/1000*O24</f>
        <v>0</v>
      </c>
    </row>
    <row r="25" spans="1:19" ht="30" x14ac:dyDescent="0.25">
      <c r="A25" s="70"/>
      <c r="B25" s="38" t="s">
        <v>85</v>
      </c>
      <c r="C25" s="55" t="s">
        <v>93</v>
      </c>
      <c r="D25" s="40">
        <f t="shared" si="0"/>
        <v>0.19</v>
      </c>
      <c r="E25" s="43" t="str">
        <f>IF(M25&gt;0,M25,"-")</f>
        <v>-</v>
      </c>
      <c r="F25" s="42"/>
      <c r="G25" s="46" t="str">
        <f t="shared" si="1"/>
        <v xml:space="preserve"> </v>
      </c>
      <c r="H25" s="43" t="str">
        <f t="shared" si="2"/>
        <v xml:space="preserve"> </v>
      </c>
      <c r="I25" s="73"/>
      <c r="L25" s="109">
        <v>0.19</v>
      </c>
      <c r="M25" s="24">
        <f>IF(Áreas!C25="Restantes tipologias Emp. Turísticos",Áreas!I25,0)</f>
        <v>0</v>
      </c>
      <c r="O25" s="24">
        <f>IF(Localização!$G$43="S",0.5,1)</f>
        <v>1</v>
      </c>
      <c r="P25" s="24">
        <f t="shared" si="3"/>
        <v>0</v>
      </c>
    </row>
    <row r="26" spans="1:19" ht="30" x14ac:dyDescent="0.25">
      <c r="A26" s="70"/>
      <c r="B26" s="38" t="s">
        <v>86</v>
      </c>
      <c r="C26" s="55" t="s">
        <v>87</v>
      </c>
      <c r="D26" s="40">
        <f t="shared" si="0"/>
        <v>1.1499999999999999</v>
      </c>
      <c r="E26" s="43" t="str">
        <f>IF(M26&gt;0,M26,"-")</f>
        <v>-</v>
      </c>
      <c r="F26" s="42"/>
      <c r="G26" s="46" t="str">
        <f t="shared" si="1"/>
        <v xml:space="preserve"> </v>
      </c>
      <c r="H26" s="43" t="str">
        <f t="shared" si="2"/>
        <v xml:space="preserve"> </v>
      </c>
      <c r="I26" s="73"/>
      <c r="L26" s="109">
        <v>1.1499999999999999</v>
      </c>
      <c r="M26" s="24">
        <f>IF(Áreas!C25="Alojamento Local",Áreas!I25,0)</f>
        <v>0</v>
      </c>
      <c r="N26" s="24"/>
      <c r="O26" s="24">
        <f>IF(Localização!$G$43="S",0.5,1)</f>
        <v>1</v>
      </c>
      <c r="P26" s="24">
        <f t="shared" si="3"/>
        <v>0</v>
      </c>
    </row>
    <row r="27" spans="1:19" ht="30" x14ac:dyDescent="0.25">
      <c r="A27" s="70"/>
      <c r="B27" s="38" t="s">
        <v>88</v>
      </c>
      <c r="C27" s="55" t="s">
        <v>89</v>
      </c>
      <c r="D27" s="40">
        <f t="shared" si="0"/>
        <v>0.09</v>
      </c>
      <c r="E27" s="43" t="str">
        <f>IF(M27&gt;0,M27,"-")</f>
        <v>-</v>
      </c>
      <c r="F27" s="42"/>
      <c r="G27" s="46" t="str">
        <f t="shared" si="1"/>
        <v xml:space="preserve"> </v>
      </c>
      <c r="H27" s="46" t="str">
        <f t="shared" si="2"/>
        <v xml:space="preserve"> </v>
      </c>
      <c r="I27" s="73"/>
      <c r="L27" s="109">
        <v>0.09</v>
      </c>
      <c r="M27" s="24">
        <f>IF(Áreas!C25="Indústria",Áreas!I25,0)+IF(Áreas!C25="Armazéns",Áreas!I25,0)+IF(Áreas!C25="Equipamentos",Áreas!I25,0)+IF(Áreas!C25="Outros",Áreas!I25,0)</f>
        <v>0</v>
      </c>
      <c r="O27" s="24">
        <f>IF(Localização!$G$43="S",0.5,1)</f>
        <v>1</v>
      </c>
      <c r="P27" s="24">
        <f t="shared" si="3"/>
        <v>0</v>
      </c>
    </row>
    <row r="28" spans="1:19" x14ac:dyDescent="0.25">
      <c r="A28" s="70"/>
      <c r="B28" s="48" t="s">
        <v>111</v>
      </c>
      <c r="C28" s="150" t="s">
        <v>112</v>
      </c>
      <c r="D28" s="151"/>
      <c r="E28" s="151"/>
      <c r="F28" s="151"/>
      <c r="G28" s="151"/>
      <c r="H28" s="152"/>
      <c r="I28" s="73"/>
      <c r="L28" s="110"/>
    </row>
    <row r="29" spans="1:19" ht="45" x14ac:dyDescent="0.25">
      <c r="A29" s="70"/>
      <c r="B29" s="38" t="s">
        <v>113</v>
      </c>
      <c r="C29" s="55" t="s">
        <v>114</v>
      </c>
      <c r="D29" s="40">
        <f t="shared" si="0"/>
        <v>8.09</v>
      </c>
      <c r="E29" s="43" t="str">
        <f>IF(M29&gt;0,M29,"-")</f>
        <v>-</v>
      </c>
      <c r="F29" s="41" t="str">
        <f>IF(P56=0.5,0.5," ")</f>
        <v xml:space="preserve"> </v>
      </c>
      <c r="G29" s="46" t="str">
        <f>IF(O29=1," ",O29)</f>
        <v xml:space="preserve"> </v>
      </c>
      <c r="H29" s="43" t="str">
        <f t="shared" si="2"/>
        <v xml:space="preserve"> </v>
      </c>
      <c r="I29" s="73"/>
      <c r="L29" s="105">
        <v>8.09</v>
      </c>
      <c r="M29" s="24">
        <f>+Áreas!I29</f>
        <v>0</v>
      </c>
      <c r="N29" s="24">
        <f>IF(S18&gt;0,0.5,1)</f>
        <v>1</v>
      </c>
      <c r="O29" s="24">
        <f>IF(Localização!$G$43="S",0.5,1)</f>
        <v>1</v>
      </c>
      <c r="P29" s="24">
        <f>+L29*M29*O29*N29</f>
        <v>0</v>
      </c>
    </row>
    <row r="30" spans="1:19" ht="45" x14ac:dyDescent="0.25">
      <c r="A30" s="70"/>
      <c r="B30" s="38" t="s">
        <v>115</v>
      </c>
      <c r="C30" s="55" t="s">
        <v>116</v>
      </c>
      <c r="D30" s="40">
        <f t="shared" si="0"/>
        <v>2.04</v>
      </c>
      <c r="E30" s="43" t="str">
        <f>IF(M30&gt;0,M30,"-")</f>
        <v>-</v>
      </c>
      <c r="F30" s="42"/>
      <c r="G30" s="46" t="str">
        <f>IF(O30=1," ",O30)</f>
        <v xml:space="preserve"> </v>
      </c>
      <c r="H30" s="43" t="str">
        <f t="shared" si="2"/>
        <v xml:space="preserve"> </v>
      </c>
      <c r="I30" s="73"/>
      <c r="L30" s="105">
        <v>2.04</v>
      </c>
      <c r="M30" s="24">
        <f>+Áreas!I31</f>
        <v>0</v>
      </c>
      <c r="O30" s="24">
        <f>IF(Localização!$G$43="S",0.5,1)</f>
        <v>1</v>
      </c>
      <c r="P30" s="24">
        <f>+L30*M30*O30</f>
        <v>0</v>
      </c>
    </row>
    <row r="31" spans="1:19" ht="30" x14ac:dyDescent="0.25">
      <c r="A31" s="70"/>
      <c r="B31" s="38" t="s">
        <v>117</v>
      </c>
      <c r="C31" s="55" t="s">
        <v>118</v>
      </c>
      <c r="D31" s="40">
        <f t="shared" si="0"/>
        <v>0.93</v>
      </c>
      <c r="E31" s="43" t="str">
        <f>IF(M31&gt;0,M31,"-")</f>
        <v>-</v>
      </c>
      <c r="F31" s="38"/>
      <c r="G31" s="46" t="str">
        <f>IF(O31=1," ",O31)</f>
        <v xml:space="preserve"> </v>
      </c>
      <c r="H31" s="43" t="str">
        <f t="shared" si="2"/>
        <v xml:space="preserve"> </v>
      </c>
      <c r="I31" s="73"/>
      <c r="L31" s="111">
        <v>0.93</v>
      </c>
      <c r="M31" s="24">
        <f>+Áreas!I34</f>
        <v>0</v>
      </c>
      <c r="N31" s="24">
        <f>IF(S18&gt;0,0,1)</f>
        <v>1</v>
      </c>
      <c r="O31" s="24">
        <f>IF(Localização!$G$43="S",0.5,1)</f>
        <v>1</v>
      </c>
      <c r="P31" s="24">
        <f>+L31*M31*O31*N31</f>
        <v>0</v>
      </c>
    </row>
    <row r="32" spans="1:19" ht="45" x14ac:dyDescent="0.25">
      <c r="A32" s="70"/>
      <c r="B32" s="38" t="s">
        <v>119</v>
      </c>
      <c r="C32" s="39" t="s">
        <v>120</v>
      </c>
      <c r="D32" s="40">
        <f t="shared" si="0"/>
        <v>4.05</v>
      </c>
      <c r="E32" s="43" t="str">
        <f>IF(M32&gt;0,M32,"-")</f>
        <v>-</v>
      </c>
      <c r="F32" s="42"/>
      <c r="G32" s="46" t="str">
        <f>IF(O32=1," ",O32)</f>
        <v xml:space="preserve"> </v>
      </c>
      <c r="H32" s="43" t="str">
        <f t="shared" si="2"/>
        <v xml:space="preserve"> </v>
      </c>
      <c r="I32" s="73"/>
      <c r="L32" s="105">
        <v>4.05</v>
      </c>
      <c r="M32" s="24">
        <f>+Áreas!I37</f>
        <v>0</v>
      </c>
      <c r="O32" s="24">
        <f>IF(Localização!$G$43="S",0.5,1)</f>
        <v>1</v>
      </c>
      <c r="P32" s="24">
        <f>+L32*M32*O32</f>
        <v>0</v>
      </c>
    </row>
    <row r="33" spans="1:16" ht="45" x14ac:dyDescent="0.25">
      <c r="A33" s="70"/>
      <c r="B33" s="38" t="s">
        <v>121</v>
      </c>
      <c r="C33" s="39" t="s">
        <v>122</v>
      </c>
      <c r="D33" s="40">
        <f t="shared" si="0"/>
        <v>64.88</v>
      </c>
      <c r="E33" s="43" t="str">
        <f>IF(M33&gt;0,M33,"-")</f>
        <v>-</v>
      </c>
      <c r="F33" s="42"/>
      <c r="G33" s="46" t="str">
        <f>IF(O33=1," ",O33)</f>
        <v xml:space="preserve"> </v>
      </c>
      <c r="H33" s="43" t="str">
        <f t="shared" si="2"/>
        <v xml:space="preserve"> </v>
      </c>
      <c r="I33" s="73"/>
      <c r="L33" s="105">
        <v>64.88</v>
      </c>
      <c r="M33" s="24">
        <f>+Áreas!I40</f>
        <v>0</v>
      </c>
      <c r="O33" s="24">
        <f>IF(Localização!$G$43="S",0.5,1)</f>
        <v>1</v>
      </c>
      <c r="P33" s="24">
        <f>+L33*M33*O33</f>
        <v>0</v>
      </c>
    </row>
    <row r="34" spans="1:16" x14ac:dyDescent="0.25">
      <c r="A34" s="70"/>
      <c r="B34" s="71"/>
      <c r="C34" s="71"/>
      <c r="D34" s="71"/>
      <c r="E34" s="71"/>
      <c r="F34" s="71"/>
      <c r="G34" s="71"/>
      <c r="H34" s="71"/>
      <c r="I34" s="73"/>
    </row>
    <row r="35" spans="1:16" x14ac:dyDescent="0.25">
      <c r="A35" s="70"/>
      <c r="B35" s="71"/>
      <c r="C35" s="71"/>
      <c r="D35" s="71"/>
      <c r="E35" s="71"/>
      <c r="F35" s="76" t="s">
        <v>148</v>
      </c>
      <c r="G35" s="71"/>
      <c r="H35" s="49">
        <f>IF(D13="S",SUM(H18:H33)*0.5,SUM(H18:H33))</f>
        <v>26.47</v>
      </c>
      <c r="I35" s="73"/>
    </row>
    <row r="36" spans="1:16" x14ac:dyDescent="0.25">
      <c r="A36" s="70"/>
      <c r="B36" s="71"/>
      <c r="C36" s="71"/>
      <c r="D36" s="71"/>
      <c r="E36" s="71"/>
      <c r="F36" s="71"/>
      <c r="G36" s="71"/>
      <c r="H36" s="71"/>
      <c r="I36" s="73"/>
    </row>
    <row r="37" spans="1:16" ht="15.75" x14ac:dyDescent="0.25">
      <c r="A37" s="70"/>
      <c r="B37" s="149" t="s">
        <v>138</v>
      </c>
      <c r="C37" s="149"/>
      <c r="D37" s="149"/>
      <c r="E37" s="149"/>
      <c r="F37" s="149"/>
      <c r="G37" s="149"/>
      <c r="H37" s="149"/>
      <c r="I37" s="73"/>
    </row>
    <row r="38" spans="1:16" x14ac:dyDescent="0.25">
      <c r="A38" s="70"/>
      <c r="B38" s="71"/>
      <c r="C38" s="71"/>
      <c r="D38" s="71"/>
      <c r="E38" s="71"/>
      <c r="F38" s="71"/>
      <c r="G38" s="71"/>
      <c r="H38" s="71"/>
      <c r="I38" s="73"/>
    </row>
    <row r="39" spans="1:16" ht="45" x14ac:dyDescent="0.25">
      <c r="A39" s="70"/>
      <c r="B39" s="31" t="s">
        <v>66</v>
      </c>
      <c r="C39" s="50" t="s">
        <v>67</v>
      </c>
      <c r="D39" s="33" t="s">
        <v>143</v>
      </c>
      <c r="E39" s="145" t="s">
        <v>94</v>
      </c>
      <c r="F39" s="146"/>
      <c r="G39" s="33" t="s">
        <v>144</v>
      </c>
      <c r="H39" s="33" t="s">
        <v>71</v>
      </c>
      <c r="I39" s="73"/>
    </row>
    <row r="40" spans="1:16" x14ac:dyDescent="0.25">
      <c r="A40" s="70"/>
      <c r="B40" s="85"/>
      <c r="C40" s="86"/>
      <c r="D40" s="87"/>
      <c r="E40" s="87"/>
      <c r="F40" s="95"/>
      <c r="G40" s="95"/>
      <c r="H40" s="95"/>
      <c r="I40" s="73"/>
    </row>
    <row r="41" spans="1:16" x14ac:dyDescent="0.25">
      <c r="A41" s="70"/>
      <c r="B41" s="88" t="s">
        <v>149</v>
      </c>
      <c r="C41" s="94" t="s">
        <v>142</v>
      </c>
      <c r="D41" s="52">
        <f>+Localização!J17</f>
        <v>0</v>
      </c>
      <c r="E41" s="142"/>
      <c r="F41" s="143"/>
      <c r="G41" s="143"/>
      <c r="H41" s="144"/>
      <c r="I41" s="73"/>
    </row>
    <row r="42" spans="1:16" x14ac:dyDescent="0.25">
      <c r="A42" s="70"/>
      <c r="B42" s="88"/>
      <c r="C42" s="42"/>
      <c r="D42" s="142"/>
      <c r="E42" s="143"/>
      <c r="F42" s="143"/>
      <c r="G42" s="143"/>
      <c r="H42" s="144"/>
      <c r="I42" s="73"/>
    </row>
    <row r="43" spans="1:16" x14ac:dyDescent="0.25">
      <c r="A43" s="70"/>
      <c r="B43" s="88"/>
      <c r="C43" s="42"/>
      <c r="D43" s="89"/>
      <c r="G43" s="89"/>
      <c r="H43" s="42"/>
      <c r="I43" s="73"/>
    </row>
    <row r="44" spans="1:16" x14ac:dyDescent="0.25">
      <c r="A44" s="70"/>
      <c r="B44" s="88"/>
      <c r="C44" s="35" t="s">
        <v>1</v>
      </c>
      <c r="D44" s="90">
        <f>+Localização!N12</f>
        <v>1.0999999999999999E-2</v>
      </c>
      <c r="E44" s="147">
        <f>+M20</f>
        <v>0</v>
      </c>
      <c r="F44" s="148"/>
      <c r="G44" s="96">
        <f>+D44*E44</f>
        <v>0</v>
      </c>
      <c r="H44" s="42"/>
      <c r="I44" s="73"/>
    </row>
    <row r="45" spans="1:16" x14ac:dyDescent="0.25">
      <c r="A45" s="70"/>
      <c r="B45" s="88"/>
      <c r="C45" s="35" t="s">
        <v>64</v>
      </c>
      <c r="D45" s="90">
        <f>+Localização!N13</f>
        <v>0.02</v>
      </c>
      <c r="E45" s="147">
        <f>+M21*N21+M22*N22</f>
        <v>0</v>
      </c>
      <c r="F45" s="148"/>
      <c r="G45" s="96">
        <f>+D45*E45</f>
        <v>0</v>
      </c>
      <c r="H45" s="42"/>
      <c r="I45" s="73"/>
    </row>
    <row r="46" spans="1:16" x14ac:dyDescent="0.25">
      <c r="A46" s="70"/>
      <c r="B46" s="88"/>
      <c r="C46" s="35" t="s">
        <v>63</v>
      </c>
      <c r="D46" s="90">
        <f>+Localização!N14</f>
        <v>0.02</v>
      </c>
      <c r="E46" s="147">
        <f>+M23</f>
        <v>0</v>
      </c>
      <c r="F46" s="148"/>
      <c r="G46" s="96">
        <f>+D46*E46</f>
        <v>0</v>
      </c>
      <c r="H46" s="42"/>
      <c r="I46" s="73"/>
    </row>
    <row r="47" spans="1:16" ht="15" customHeight="1" x14ac:dyDescent="0.25">
      <c r="A47" s="70"/>
      <c r="B47" s="137"/>
      <c r="C47" s="162" t="s">
        <v>14</v>
      </c>
      <c r="D47" s="156">
        <f>+Localização!N15</f>
        <v>1.4999999999999999E-2</v>
      </c>
      <c r="E47" s="158">
        <f>+M24+M25+M26+M27</f>
        <v>0</v>
      </c>
      <c r="F47" s="159"/>
      <c r="G47" s="156">
        <f>+D47*E47</f>
        <v>0</v>
      </c>
      <c r="H47" s="42"/>
      <c r="I47" s="73"/>
    </row>
    <row r="48" spans="1:16" x14ac:dyDescent="0.25">
      <c r="A48" s="70"/>
      <c r="B48" s="138"/>
      <c r="C48" s="163"/>
      <c r="D48" s="157"/>
      <c r="E48" s="160"/>
      <c r="F48" s="161"/>
      <c r="G48" s="157"/>
      <c r="H48" s="42"/>
      <c r="I48" s="73"/>
    </row>
    <row r="49" spans="1:9" x14ac:dyDescent="0.25">
      <c r="A49" s="70"/>
      <c r="B49" s="91"/>
      <c r="C49" s="91"/>
      <c r="D49" s="90"/>
      <c r="E49" s="89"/>
      <c r="F49" s="89"/>
      <c r="G49" s="53">
        <f>SUM(G44:G47)</f>
        <v>0</v>
      </c>
      <c r="H49" s="42"/>
      <c r="I49" s="73"/>
    </row>
    <row r="50" spans="1:9" x14ac:dyDescent="0.25">
      <c r="A50" s="70"/>
      <c r="B50" s="51"/>
      <c r="C50" s="71"/>
      <c r="D50" s="81"/>
      <c r="E50" s="80"/>
      <c r="F50" s="80"/>
      <c r="G50" s="71"/>
      <c r="H50" s="71"/>
      <c r="I50" s="73"/>
    </row>
    <row r="51" spans="1:9" x14ac:dyDescent="0.25">
      <c r="A51" s="70"/>
      <c r="B51" s="98"/>
      <c r="C51" s="42" t="s">
        <v>145</v>
      </c>
      <c r="D51" s="17"/>
      <c r="E51" s="92"/>
      <c r="F51" s="92"/>
      <c r="G51" s="97"/>
      <c r="H51" s="54">
        <v>482.4</v>
      </c>
      <c r="I51" s="73"/>
    </row>
    <row r="52" spans="1:9" x14ac:dyDescent="0.25">
      <c r="A52" s="70"/>
      <c r="B52" s="51"/>
      <c r="C52" s="71"/>
      <c r="D52" s="81"/>
      <c r="E52" s="80"/>
      <c r="F52" s="80"/>
      <c r="G52" s="71"/>
      <c r="H52" s="71"/>
      <c r="I52" s="73"/>
    </row>
    <row r="53" spans="1:9" x14ac:dyDescent="0.25">
      <c r="A53" s="70"/>
      <c r="B53" s="98"/>
      <c r="C53" s="42" t="s">
        <v>146</v>
      </c>
      <c r="D53" s="52">
        <f>+Localização!J40</f>
        <v>0.4</v>
      </c>
      <c r="E53" s="80"/>
      <c r="F53" s="80"/>
      <c r="G53" s="71"/>
      <c r="H53" s="71"/>
      <c r="I53" s="73"/>
    </row>
    <row r="54" spans="1:9" x14ac:dyDescent="0.25">
      <c r="A54" s="70"/>
      <c r="B54" s="51"/>
      <c r="C54" s="71"/>
      <c r="D54" s="81"/>
      <c r="E54" s="80"/>
      <c r="F54" s="80"/>
      <c r="G54" s="71"/>
      <c r="H54" s="71"/>
      <c r="I54" s="73"/>
    </row>
    <row r="55" spans="1:9" x14ac:dyDescent="0.25">
      <c r="A55" s="70"/>
      <c r="B55" s="6"/>
      <c r="C55" s="139" t="s">
        <v>147</v>
      </c>
      <c r="D55" s="140"/>
      <c r="E55" s="140"/>
      <c r="F55" s="140"/>
      <c r="G55" s="141"/>
      <c r="H55" s="49">
        <f>IF(C63&gt;0,C63,0)</f>
        <v>0</v>
      </c>
      <c r="I55" s="73"/>
    </row>
    <row r="56" spans="1:9" x14ac:dyDescent="0.25">
      <c r="A56" s="70"/>
      <c r="B56" s="51"/>
      <c r="C56" s="71"/>
      <c r="D56" s="81"/>
      <c r="E56" s="80"/>
      <c r="F56" s="71"/>
      <c r="G56" s="71"/>
      <c r="H56" s="71"/>
      <c r="I56" s="73"/>
    </row>
    <row r="57" spans="1:9" x14ac:dyDescent="0.25">
      <c r="A57" s="70"/>
      <c r="B57" s="51"/>
      <c r="C57" s="71"/>
      <c r="D57" s="81"/>
      <c r="E57" s="80"/>
      <c r="F57" s="82" t="s">
        <v>150</v>
      </c>
      <c r="G57" s="71"/>
      <c r="H57" s="49">
        <f>+H55+H35</f>
        <v>26.47</v>
      </c>
      <c r="I57" s="73"/>
    </row>
    <row r="58" spans="1:9" x14ac:dyDescent="0.25">
      <c r="A58" s="70"/>
      <c r="C58" s="83"/>
      <c r="D58" s="71"/>
      <c r="E58" s="71"/>
      <c r="F58" s="71"/>
      <c r="G58" s="71"/>
      <c r="I58" s="73"/>
    </row>
    <row r="59" spans="1:9" ht="32.25" customHeight="1" x14ac:dyDescent="0.25">
      <c r="A59" s="70"/>
      <c r="B59" s="84" t="s">
        <v>137</v>
      </c>
      <c r="C59" s="128" t="s">
        <v>139</v>
      </c>
      <c r="D59" s="128"/>
      <c r="E59" s="128"/>
      <c r="F59" s="128"/>
      <c r="G59" s="128"/>
      <c r="H59" s="128"/>
      <c r="I59" s="73"/>
    </row>
    <row r="60" spans="1:9" x14ac:dyDescent="0.25">
      <c r="A60" s="77"/>
      <c r="B60" s="78"/>
      <c r="C60" s="78"/>
      <c r="D60" s="78"/>
      <c r="E60" s="78"/>
      <c r="F60" s="78"/>
      <c r="G60" s="78"/>
      <c r="H60" s="78"/>
      <c r="I60" s="79"/>
    </row>
    <row r="62" spans="1:9" hidden="1" x14ac:dyDescent="0.25"/>
    <row r="63" spans="1:9" hidden="1" x14ac:dyDescent="0.25">
      <c r="C63">
        <f>(D41*G49*H51*D53)*IF(Localização!G43="S",0.5,1)</f>
        <v>0</v>
      </c>
    </row>
  </sheetData>
  <sheetProtection algorithmName="SHA-512" hashValue="uzjU9QFEJFUGYkA0TGOJHaTq6XhK374gqvUUS84/Ec35/2LsvC6Mkpos04q5hg6bPnIn27LHDyS1aJH0pae9Jw==" saltValue="JKhlbCPdHe1h0c9+nIsUfw==" spinCount="100000" sheet="1" objects="1" scenarios="1" selectLockedCells="1"/>
  <mergeCells count="20">
    <mergeCell ref="C59:H59"/>
    <mergeCell ref="C47:C48"/>
    <mergeCell ref="B37:H37"/>
    <mergeCell ref="C28:H28"/>
    <mergeCell ref="A7:I7"/>
    <mergeCell ref="A9:I10"/>
    <mergeCell ref="B12:I12"/>
    <mergeCell ref="C16:H16"/>
    <mergeCell ref="E17:H17"/>
    <mergeCell ref="B47:B48"/>
    <mergeCell ref="C55:G55"/>
    <mergeCell ref="E41:H41"/>
    <mergeCell ref="E39:F39"/>
    <mergeCell ref="E44:F44"/>
    <mergeCell ref="E45:F45"/>
    <mergeCell ref="E46:F46"/>
    <mergeCell ref="D42:H42"/>
    <mergeCell ref="D47:D48"/>
    <mergeCell ref="E47:F48"/>
    <mergeCell ref="G47:G48"/>
  </mergeCells>
  <conditionalFormatting sqref="B20:H20">
    <cfRule type="expression" dxfId="17" priority="11">
      <formula>$P$20&gt;0</formula>
    </cfRule>
  </conditionalFormatting>
  <conditionalFormatting sqref="B19:H19">
    <cfRule type="expression" dxfId="16" priority="20">
      <formula>$P$19&gt;0</formula>
    </cfRule>
  </conditionalFormatting>
  <conditionalFormatting sqref="B17:E17">
    <cfRule type="expression" dxfId="15" priority="70">
      <formula>$H$54&gt;0</formula>
    </cfRule>
  </conditionalFormatting>
  <conditionalFormatting sqref="B18:H18">
    <cfRule type="expression" dxfId="14" priority="72">
      <formula>$H$18&gt;0</formula>
    </cfRule>
  </conditionalFormatting>
  <conditionalFormatting sqref="B21:H21">
    <cfRule type="expression" dxfId="13" priority="75">
      <formula>$P$21&gt;0</formula>
    </cfRule>
  </conditionalFormatting>
  <conditionalFormatting sqref="B25:H25">
    <cfRule type="expression" dxfId="12" priority="79">
      <formula>$P$25&gt;0</formula>
    </cfRule>
  </conditionalFormatting>
  <conditionalFormatting sqref="B26:H26">
    <cfRule type="expression" dxfId="11" priority="81">
      <formula>$P$26&gt;0</formula>
    </cfRule>
  </conditionalFormatting>
  <conditionalFormatting sqref="B30:C30 E30:H30">
    <cfRule type="expression" dxfId="10" priority="83">
      <formula>$P$30&gt;0</formula>
    </cfRule>
  </conditionalFormatting>
  <conditionalFormatting sqref="B31:C31 E31:H31">
    <cfRule type="expression" dxfId="9" priority="85">
      <formula>$P$31&gt;0</formula>
    </cfRule>
  </conditionalFormatting>
  <conditionalFormatting sqref="B32:C32 E32:H32">
    <cfRule type="expression" dxfId="8" priority="87">
      <formula>$P$32&gt;0</formula>
    </cfRule>
  </conditionalFormatting>
  <conditionalFormatting sqref="B33:C33 E33:H33">
    <cfRule type="expression" dxfId="7" priority="89">
      <formula>$P$33&gt;0</formula>
    </cfRule>
  </conditionalFormatting>
  <conditionalFormatting sqref="B24:H24">
    <cfRule type="expression" dxfId="6" priority="92">
      <formula>$P$24&gt;0</formula>
    </cfRule>
  </conditionalFormatting>
  <conditionalFormatting sqref="B23:H23">
    <cfRule type="expression" dxfId="5" priority="94">
      <formula>$P$23&gt;0</formula>
    </cfRule>
  </conditionalFormatting>
  <conditionalFormatting sqref="B27:G27">
    <cfRule type="expression" dxfId="4" priority="96">
      <formula>$P$27&gt;0</formula>
    </cfRule>
  </conditionalFormatting>
  <conditionalFormatting sqref="B29:C29 E29:H29">
    <cfRule type="expression" dxfId="3" priority="5">
      <formula>$P$29&gt;0</formula>
    </cfRule>
  </conditionalFormatting>
  <conditionalFormatting sqref="B22:H22">
    <cfRule type="expression" dxfId="2" priority="4">
      <formula>$P$22&gt;0</formula>
    </cfRule>
  </conditionalFormatting>
  <conditionalFormatting sqref="D29:D33">
    <cfRule type="expression" dxfId="1" priority="3">
      <formula>$P$27&gt;0</formula>
    </cfRule>
  </conditionalFormatting>
  <conditionalFormatting sqref="H27">
    <cfRule type="expression" dxfId="0" priority="1">
      <formula>$P$27&gt;0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6</vt:i4>
      </vt:variant>
    </vt:vector>
  </HeadingPairs>
  <TitlesOfParts>
    <vt:vector size="10" baseType="lpstr">
      <vt:lpstr>Introdução</vt:lpstr>
      <vt:lpstr>Localização</vt:lpstr>
      <vt:lpstr>Áreas</vt:lpstr>
      <vt:lpstr>Taxas</vt:lpstr>
      <vt:lpstr>Áreas!Área_de_Impressão</vt:lpstr>
      <vt:lpstr>Localização!Área_de_Impressão</vt:lpstr>
      <vt:lpstr>Taxas!Área_de_Impressão</vt:lpstr>
      <vt:lpstr>Áreas!Títulos_de_Impressão</vt:lpstr>
      <vt:lpstr>Localização!Títulos_de_Impressão</vt:lpstr>
      <vt:lpstr>Taxas!Títulos_de_Impressão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pdelgado</dc:creator>
  <cp:lastModifiedBy>pdelgado</cp:lastModifiedBy>
  <cp:lastPrinted>2012-09-17T11:11:54Z</cp:lastPrinted>
  <dcterms:created xsi:type="dcterms:W3CDTF">2011-06-15T11:22:54Z</dcterms:created>
  <dcterms:modified xsi:type="dcterms:W3CDTF">2016-12-27T09:09:49Z</dcterms:modified>
</cp:coreProperties>
</file>